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henrik/Seafile/FuE/Excel-Tools/Wirtschaftlichkeit/"/>
    </mc:Choice>
  </mc:AlternateContent>
  <xr:revisionPtr revIDLastSave="0" documentId="13_ncr:1_{A5752AF6-9156-7047-8732-3742AD9F661A}" xr6:coauthVersionLast="47" xr6:coauthVersionMax="47" xr10:uidLastSave="{00000000-0000-0000-0000-000000000000}"/>
  <bookViews>
    <workbookView xWindow="0" yWindow="780" windowWidth="41120" windowHeight="24480" xr2:uid="{A4C0B0BD-DE5A-4128-A143-2EAE744CC292}"/>
  </bookViews>
  <sheets>
    <sheet name="Eingabe" sheetId="1" r:id="rId1"/>
    <sheet name="Ergebnisse" sheetId="3" r:id="rId2"/>
    <sheet name="Berechnungen" sheetId="2" state="hidden" r:id="rId3"/>
  </sheets>
  <definedNames>
    <definedName name="Abschreibunglinear">Berechnungen!$B$14</definedName>
    <definedName name="Abzinsungsfaktor">Eingabe!$B$51</definedName>
    <definedName name="Anlagenbezeichnung">Eingabe!$B$4</definedName>
    <definedName name="Arbeitsstunden">Eingabe!$B$23</definedName>
    <definedName name="BedarfsgebundeneKosten">Berechnungen!$B$3</definedName>
    <definedName name="BetriebsgebundeneKosten">Berechnungen!$B$10</definedName>
    <definedName name="DynAmortisationszeit">Berechnungen!$C$40</definedName>
    <definedName name="Ersatzbeschaffung1">Eingabe!$B$28</definedName>
    <definedName name="Ersatzbeschaffung2">Eingabe!$B$29</definedName>
    <definedName name="Erstellungsdatum">Eingabe!$B$5</definedName>
    <definedName name="FaktorEnergie">Eingabe!$B$45</definedName>
    <definedName name="FaktorErlöse">Eingabe!$B$49</definedName>
    <definedName name="FaktorInstandsetzung">Eingabe!$B$21</definedName>
    <definedName name="FaktorSonstigeKosten">Eingabe!$B$47</definedName>
    <definedName name="FaktorWartung">Eingabe!$B$22</definedName>
    <definedName name="Förderung">Eingabe!$B$37</definedName>
    <definedName name="Gas">Berechnungen!$B$7</definedName>
    <definedName name="JahrErsatzbeschaffung1">Eingabe!$D$28</definedName>
    <definedName name="JahrErsatzbeschaffung2">Eingabe!$D$29</definedName>
    <definedName name="jährlicherErlös">Eingabe!$B$36</definedName>
    <definedName name="Kälte">Berechnungen!$B$5</definedName>
    <definedName name="KapitalgebundeneKosten">Eingabe!$B$9</definedName>
    <definedName name="Kapitalwert">Berechnungen!$B$36</definedName>
    <definedName name="LaufzeitFörderung">Eingabe!$D$37</definedName>
    <definedName name="Lohn">Berechnungen!$B$12</definedName>
    <definedName name="Lohnerhöhung">Eingabe!$B$25</definedName>
    <definedName name="NameErsteller">Eingabe!$B$3</definedName>
    <definedName name="Nutzungsjahre">Eingabe!$B$43</definedName>
    <definedName name="PreisGas">Eingabe!$C$16</definedName>
    <definedName name="PreisKälte">Eingabe!$C$14</definedName>
    <definedName name="PreisStrom">Eingabe!$C$15</definedName>
    <definedName name="PreisWärme">Eingabe!$C$13</definedName>
    <definedName name="PreisWasser">Eingabe!$C$18</definedName>
    <definedName name="Restwert">Eingabe!$B$39</definedName>
    <definedName name="SonstigeKosten">Eingabe!$B$31</definedName>
    <definedName name="StatAmortisationszeit">Berechnungen!$C$39</definedName>
    <definedName name="Strom">Berechnungen!$B$6</definedName>
    <definedName name="Stundenlohn">Eingabe!$B$24</definedName>
    <definedName name="VerbrauchGas">Eingabe!$B$16</definedName>
    <definedName name="VerbrauchKälte">Eingabe!$B$14</definedName>
    <definedName name="VerbrauchStrom">Eingabe!$B$15</definedName>
    <definedName name="VerbrauchWärme">Eingabe!$B$13</definedName>
    <definedName name="VerbrauchWasser">Eingabe!$B$18</definedName>
    <definedName name="Wärme">Berechnungen!$B$4</definedName>
    <definedName name="WartungInspektion">Berechnungen!$B$11</definedName>
    <definedName name="Wasser">Berechnungen!$B$8</definedName>
  </definedNames>
  <calcPr calcId="191029"/>
  <customWorkbookViews>
    <customWorkbookView name="DINA4" guid="{BC21BAC2-2C5D-4771-A36D-D3E3041AC412}" includeHiddenRowCol="0" maximized="1" xWindow="-9" yWindow="-9" windowWidth="1938" windowHeight="1048"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2" l="1"/>
  <c r="D18" i="1"/>
  <c r="D16" i="1"/>
  <c r="D15" i="1"/>
  <c r="D14" i="1"/>
  <c r="D13" i="1"/>
  <c r="C43" i="1"/>
  <c r="B16" i="2"/>
  <c r="B25" i="2"/>
  <c r="J13" i="3"/>
  <c r="B18" i="2"/>
  <c r="E28" i="1"/>
  <c r="C39" i="1"/>
  <c r="E37" i="1"/>
  <c r="E29" i="1"/>
  <c r="B23" i="3"/>
  <c r="B22" i="3"/>
  <c r="B20" i="3"/>
  <c r="D18" i="3"/>
  <c r="B18" i="3"/>
  <c r="B17" i="3"/>
  <c r="B14" i="3"/>
  <c r="D12" i="3"/>
  <c r="B12" i="3"/>
  <c r="D11" i="3"/>
  <c r="B11" i="3"/>
  <c r="B6" i="3"/>
  <c r="B4" i="3"/>
  <c r="B3" i="3"/>
  <c r="B12" i="2"/>
  <c r="B11" i="2"/>
  <c r="B8" i="2"/>
  <c r="B7" i="2"/>
  <c r="B6" i="2"/>
  <c r="B5" i="2"/>
  <c r="B4" i="2"/>
  <c r="B14" i="2"/>
  <c r="B20" i="2"/>
  <c r="B21" i="2"/>
  <c r="Q13" i="3"/>
  <c r="B2" i="3"/>
  <c r="B31" i="2"/>
  <c r="N13" i="3"/>
  <c r="B30" i="2"/>
  <c r="M13" i="3"/>
  <c r="C16" i="2"/>
  <c r="C18" i="2"/>
  <c r="B28" i="2"/>
  <c r="B10" i="2" a="1"/>
  <c r="B8" i="3"/>
  <c r="B29" i="2"/>
  <c r="L13" i="3"/>
  <c r="B3" i="2"/>
  <c r="B7" i="3"/>
  <c r="B24" i="2"/>
  <c r="G13" i="3"/>
  <c r="K13" i="3"/>
  <c r="C25" i="2"/>
  <c r="C19" i="2"/>
  <c r="C20" i="2"/>
  <c r="C21" i="2"/>
  <c r="C29" i="2"/>
  <c r="C30" i="2"/>
  <c r="C31" i="2"/>
  <c r="B27" i="2"/>
  <c r="I13" i="3"/>
  <c r="D16" i="2"/>
  <c r="C27" i="2"/>
  <c r="F13" i="3"/>
  <c r="D25" i="2"/>
  <c r="D20" i="2"/>
  <c r="D19" i="2"/>
  <c r="D18" i="2"/>
  <c r="D29" i="2"/>
  <c r="D31" i="2"/>
  <c r="D30" i="2"/>
  <c r="D27" i="2"/>
  <c r="E16" i="2"/>
  <c r="F14" i="3"/>
  <c r="C28" i="2"/>
  <c r="C24" i="2"/>
  <c r="B26" i="2"/>
  <c r="Q14" i="3" a="1"/>
  <c r="K14" i="3" a="1"/>
  <c r="I14" i="3" a="1"/>
  <c r="G14" i="3" a="1"/>
  <c r="N14" i="3" a="1"/>
  <c r="L14" i="3" a="1"/>
  <c r="M14" i="3" a="1"/>
  <c r="B32" i="2"/>
  <c r="O13" i="3"/>
  <c r="H13" i="3"/>
  <c r="J14" i="3" a="1"/>
  <c r="D21" i="2"/>
  <c r="E18" i="2"/>
  <c r="E25" i="2"/>
  <c r="E20" i="2"/>
  <c r="E19" i="2"/>
  <c r="E29" i="2"/>
  <c r="E31" i="2"/>
  <c r="E30" i="2"/>
  <c r="F16" i="2"/>
  <c r="E27" i="2"/>
  <c r="F15" i="3"/>
  <c r="M15" i="3" a="1"/>
  <c r="D28" i="2"/>
  <c r="D24" i="2"/>
  <c r="C26" i="2"/>
  <c r="C32" i="2"/>
  <c r="C33" i="2"/>
  <c r="C35" i="2"/>
  <c r="H14" i="3" a="1"/>
  <c r="B33" i="2"/>
  <c r="B34" i="2"/>
  <c r="P13" i="3"/>
  <c r="O14" i="3" a="1"/>
  <c r="Q15" i="3" a="1"/>
  <c r="N15" i="3" a="1"/>
  <c r="L15" i="3" a="1"/>
  <c r="I15" i="3" a="1"/>
  <c r="K15" i="3" a="1"/>
  <c r="G15" i="3" a="1"/>
  <c r="J15" i="3" a="1"/>
  <c r="E21" i="2"/>
  <c r="F18" i="2"/>
  <c r="F25" i="2"/>
  <c r="F20" i="2"/>
  <c r="F19" i="2"/>
  <c r="F29" i="2"/>
  <c r="F31" i="2"/>
  <c r="F30" i="2"/>
  <c r="G16" i="2"/>
  <c r="F27" i="2"/>
  <c r="D26" i="2"/>
  <c r="D32" i="2"/>
  <c r="D33" i="2"/>
  <c r="D35" i="2"/>
  <c r="F16" i="3"/>
  <c r="E24" i="2"/>
  <c r="E28" i="2"/>
  <c r="C34" i="2"/>
  <c r="P14" i="3" a="1"/>
  <c r="B35" i="2"/>
  <c r="F21" i="2"/>
  <c r="G18" i="2"/>
  <c r="N16" i="3" a="1"/>
  <c r="Q16" i="3" a="1"/>
  <c r="K16" i="3" a="1"/>
  <c r="G16" i="3" a="1"/>
  <c r="L16" i="3" a="1"/>
  <c r="I16" i="3" a="1"/>
  <c r="M16" i="3" a="1"/>
  <c r="O15" i="3" a="1"/>
  <c r="J16" i="3" a="1"/>
  <c r="H15" i="3" a="1"/>
  <c r="G25" i="2"/>
  <c r="G19" i="2"/>
  <c r="G20" i="2"/>
  <c r="G29" i="2"/>
  <c r="G30" i="2"/>
  <c r="G31" i="2"/>
  <c r="H16" i="2"/>
  <c r="G27" i="2"/>
  <c r="E26" i="2"/>
  <c r="F26" i="2"/>
  <c r="G26" i="2"/>
  <c r="F17" i="3"/>
  <c r="M17" i="3" a="1"/>
  <c r="F24" i="2"/>
  <c r="F28" i="2"/>
  <c r="G28" i="2"/>
  <c r="D34" i="2"/>
  <c r="P15" i="3" a="1"/>
  <c r="G21" i="2"/>
  <c r="H18" i="2"/>
  <c r="H16" i="3" a="1"/>
  <c r="G17" i="3" a="1"/>
  <c r="K17" i="3" a="1"/>
  <c r="N17" i="3" a="1"/>
  <c r="Q17" i="3" a="1"/>
  <c r="H17" i="3" a="1"/>
  <c r="L17" i="3" a="1"/>
  <c r="I17" i="3" a="1"/>
  <c r="J17" i="3" a="1"/>
  <c r="H25" i="2"/>
  <c r="H19" i="2"/>
  <c r="H20" i="2"/>
  <c r="H21" i="2"/>
  <c r="H29" i="2"/>
  <c r="H30" i="2"/>
  <c r="H31" i="2"/>
  <c r="I16" i="2"/>
  <c r="H27" i="2"/>
  <c r="E32" i="2"/>
  <c r="O16" i="3" a="1"/>
  <c r="F32" i="2"/>
  <c r="F33" i="2"/>
  <c r="F35" i="2"/>
  <c r="F18" i="3"/>
  <c r="G24" i="2"/>
  <c r="L18" i="3" a="1"/>
  <c r="I18" i="3" a="1"/>
  <c r="Q18" i="3" a="1"/>
  <c r="G18" i="3" a="1"/>
  <c r="N18" i="3" a="1"/>
  <c r="K18" i="3" a="1"/>
  <c r="H18" i="3" a="1"/>
  <c r="J18" i="3" a="1"/>
  <c r="O17" i="3" a="1"/>
  <c r="M18" i="3" a="1"/>
  <c r="I25" i="2"/>
  <c r="I19" i="2"/>
  <c r="I20" i="2"/>
  <c r="I18" i="2"/>
  <c r="I29" i="2"/>
  <c r="I31" i="2"/>
  <c r="I30" i="2"/>
  <c r="J16" i="2"/>
  <c r="I27" i="2"/>
  <c r="E33" i="2"/>
  <c r="G32" i="2"/>
  <c r="G33" i="2"/>
  <c r="G35" i="2"/>
  <c r="F19" i="3"/>
  <c r="J19" i="3" a="1"/>
  <c r="H24" i="2"/>
  <c r="H28" i="2"/>
  <c r="H26" i="2"/>
  <c r="I26" i="2"/>
  <c r="I21" i="2"/>
  <c r="J18" i="2"/>
  <c r="O18" i="3" a="1"/>
  <c r="M19" i="3" a="1"/>
  <c r="H19" i="3" a="1"/>
  <c r="K19" i="3" a="1"/>
  <c r="I19" i="3" a="1"/>
  <c r="L19" i="3" a="1"/>
  <c r="N19" i="3" a="1"/>
  <c r="Q19" i="3" a="1"/>
  <c r="G19" i="3" a="1"/>
  <c r="J25" i="2"/>
  <c r="J20" i="2"/>
  <c r="J19" i="2"/>
  <c r="J29" i="2"/>
  <c r="E35" i="2"/>
  <c r="E34" i="2"/>
  <c r="P16" i="3" a="1"/>
  <c r="J31" i="2"/>
  <c r="J30" i="2"/>
  <c r="K16" i="2"/>
  <c r="J27" i="2"/>
  <c r="I28" i="2"/>
  <c r="H32" i="2"/>
  <c r="H33" i="2"/>
  <c r="H35" i="2"/>
  <c r="F20" i="3"/>
  <c r="I24" i="2"/>
  <c r="J21" i="2"/>
  <c r="K18" i="2"/>
  <c r="Q20" i="3" a="1"/>
  <c r="H20" i="3" a="1"/>
  <c r="G20" i="3" a="1"/>
  <c r="N20" i="3" a="1"/>
  <c r="L20" i="3" a="1"/>
  <c r="I20" i="3" a="1"/>
  <c r="K20" i="3" a="1"/>
  <c r="O19" i="3" a="1"/>
  <c r="M20" i="3" a="1"/>
  <c r="J20" i="3" a="1"/>
  <c r="K25" i="2"/>
  <c r="K20" i="2"/>
  <c r="K19" i="2"/>
  <c r="K29" i="2"/>
  <c r="F34" i="2"/>
  <c r="P17" i="3" a="1"/>
  <c r="K30" i="2"/>
  <c r="K31" i="2"/>
  <c r="L16" i="2"/>
  <c r="K27" i="2"/>
  <c r="I32" i="2"/>
  <c r="I33" i="2"/>
  <c r="I35" i="2"/>
  <c r="F21" i="3"/>
  <c r="M21" i="3" a="1"/>
  <c r="J24" i="2"/>
  <c r="J28" i="2"/>
  <c r="J26" i="2"/>
  <c r="J21" i="3" a="1"/>
  <c r="O20" i="3" a="1"/>
  <c r="G21" i="3" a="1"/>
  <c r="Q21" i="3" a="1"/>
  <c r="K21" i="3" a="1"/>
  <c r="H21" i="3" a="1"/>
  <c r="I21" i="3" a="1"/>
  <c r="L21" i="3" a="1"/>
  <c r="N21" i="3" a="1"/>
  <c r="L25" i="2"/>
  <c r="L20" i="2"/>
  <c r="L19" i="2"/>
  <c r="K21" i="2"/>
  <c r="L18" i="2"/>
  <c r="L29" i="2"/>
  <c r="G34" i="2"/>
  <c r="P18" i="3" a="1"/>
  <c r="L31" i="2"/>
  <c r="L30" i="2"/>
  <c r="M16" i="2"/>
  <c r="L27" i="2"/>
  <c r="K28" i="2"/>
  <c r="J32" i="2"/>
  <c r="J33" i="2"/>
  <c r="J35" i="2"/>
  <c r="K26" i="2"/>
  <c r="F22" i="3"/>
  <c r="M22" i="3" a="1"/>
  <c r="K24" i="2"/>
  <c r="L21" i="2"/>
  <c r="O21" i="3" a="1"/>
  <c r="N22" i="3" a="1"/>
  <c r="G22" i="3" a="1"/>
  <c r="I22" i="3" a="1"/>
  <c r="L22" i="3" a="1"/>
  <c r="K22" i="3" a="1"/>
  <c r="H22" i="3" a="1"/>
  <c r="Q22" i="3" a="1"/>
  <c r="J22" i="3" a="1"/>
  <c r="M25" i="2"/>
  <c r="M20" i="2"/>
  <c r="M19" i="2"/>
  <c r="M18" i="2"/>
  <c r="M29" i="2"/>
  <c r="H34" i="2"/>
  <c r="P19" i="3" a="1"/>
  <c r="M31" i="2"/>
  <c r="M30" i="2"/>
  <c r="N16" i="2"/>
  <c r="M27" i="2"/>
  <c r="K32" i="2"/>
  <c r="K33" i="2"/>
  <c r="K35" i="2"/>
  <c r="L24" i="2"/>
  <c r="L28" i="2"/>
  <c r="L26" i="2"/>
  <c r="M26" i="2"/>
  <c r="F23" i="3"/>
  <c r="J23" i="3" a="1"/>
  <c r="O22" i="3" a="1"/>
  <c r="I23" i="3" a="1"/>
  <c r="K23" i="3" a="1"/>
  <c r="H23" i="3" a="1"/>
  <c r="Q23" i="3" a="1"/>
  <c r="L23" i="3" a="1"/>
  <c r="G23" i="3" a="1"/>
  <c r="N23" i="3" a="1"/>
  <c r="M23" i="3" a="1"/>
  <c r="N25" i="2"/>
  <c r="N20" i="2"/>
  <c r="N19" i="2"/>
  <c r="M21" i="2"/>
  <c r="N18" i="2"/>
  <c r="N29" i="2"/>
  <c r="I34" i="2"/>
  <c r="P20" i="3" a="1"/>
  <c r="N30" i="2"/>
  <c r="N31" i="2"/>
  <c r="O16" i="2"/>
  <c r="N27" i="2"/>
  <c r="M28" i="2"/>
  <c r="L32" i="2"/>
  <c r="L33" i="2"/>
  <c r="L35" i="2"/>
  <c r="M24" i="2"/>
  <c r="F24" i="3"/>
  <c r="J24" i="3" a="1"/>
  <c r="N26" i="2"/>
  <c r="N21" i="2"/>
  <c r="O23" i="3" a="1"/>
  <c r="H24" i="3" a="1"/>
  <c r="K24" i="3" a="1"/>
  <c r="N24" i="3" a="1"/>
  <c r="I24" i="3" a="1"/>
  <c r="L24" i="3" a="1"/>
  <c r="Q24" i="3" a="1"/>
  <c r="G24" i="3" a="1"/>
  <c r="M24" i="3" a="1"/>
  <c r="O25" i="2"/>
  <c r="O19" i="2"/>
  <c r="O20" i="2"/>
  <c r="O18" i="2"/>
  <c r="O29" i="2"/>
  <c r="J34" i="2"/>
  <c r="P21" i="3" a="1"/>
  <c r="O30" i="2"/>
  <c r="O31" i="2"/>
  <c r="P16" i="2"/>
  <c r="O27" i="2"/>
  <c r="M32" i="2"/>
  <c r="M33" i="2"/>
  <c r="M35" i="2"/>
  <c r="N24" i="2"/>
  <c r="N28" i="2"/>
  <c r="F25" i="3"/>
  <c r="J25" i="3" a="1"/>
  <c r="O24" i="3" a="1"/>
  <c r="M25" i="3" a="1"/>
  <c r="Q25" i="3" a="1"/>
  <c r="L25" i="3" a="1"/>
  <c r="N25" i="3" a="1"/>
  <c r="G25" i="3" a="1"/>
  <c r="H25" i="3" a="1"/>
  <c r="I25" i="3" a="1"/>
  <c r="K25" i="3" a="1"/>
  <c r="P25" i="2"/>
  <c r="P19" i="2"/>
  <c r="P20" i="2"/>
  <c r="O21" i="2"/>
  <c r="P18" i="2"/>
  <c r="P29" i="2"/>
  <c r="K34" i="2"/>
  <c r="P22" i="3" a="1"/>
  <c r="P30" i="2"/>
  <c r="P31" i="2"/>
  <c r="Q16" i="2"/>
  <c r="P27" i="2"/>
  <c r="O28" i="2"/>
  <c r="O24" i="2"/>
  <c r="N32" i="2"/>
  <c r="N33" i="2"/>
  <c r="N35" i="2"/>
  <c r="O26" i="2"/>
  <c r="F26" i="3"/>
  <c r="M26" i="3" a="1"/>
  <c r="P21" i="2"/>
  <c r="O25" i="3" a="1"/>
  <c r="G26" i="3" a="1"/>
  <c r="I26" i="3" a="1"/>
  <c r="L26" i="3" a="1"/>
  <c r="Q26" i="3" a="1"/>
  <c r="K26" i="3" a="1"/>
  <c r="N26" i="3" a="1"/>
  <c r="H26" i="3" a="1"/>
  <c r="J26" i="3" a="1"/>
  <c r="Q25" i="2"/>
  <c r="Q19" i="2"/>
  <c r="Q20" i="2"/>
  <c r="Q18" i="2"/>
  <c r="Q29" i="2"/>
  <c r="L34" i="2"/>
  <c r="P23" i="3" a="1"/>
  <c r="Q31" i="2"/>
  <c r="Q30" i="2"/>
  <c r="R16" i="2"/>
  <c r="Q27" i="2"/>
  <c r="O32" i="2"/>
  <c r="O33" i="2"/>
  <c r="O35" i="2"/>
  <c r="P24" i="2"/>
  <c r="P26" i="2"/>
  <c r="P28" i="2"/>
  <c r="F27" i="3"/>
  <c r="J27" i="3" a="1"/>
  <c r="O26" i="3" a="1"/>
  <c r="H27" i="3" a="1"/>
  <c r="I27" i="3" a="1"/>
  <c r="Q27" i="3" a="1"/>
  <c r="G27" i="3" a="1"/>
  <c r="N27" i="3" a="1"/>
  <c r="L27" i="3" a="1"/>
  <c r="K27" i="3" a="1"/>
  <c r="M27" i="3" a="1"/>
  <c r="Q21" i="2"/>
  <c r="R25" i="2"/>
  <c r="R19" i="2"/>
  <c r="R20" i="2"/>
  <c r="R18" i="2"/>
  <c r="R29" i="2"/>
  <c r="M34" i="2"/>
  <c r="P24" i="3" a="1"/>
  <c r="R31" i="2"/>
  <c r="R30" i="2"/>
  <c r="S16" i="2"/>
  <c r="R27" i="2"/>
  <c r="P32" i="2"/>
  <c r="P33" i="2"/>
  <c r="P35" i="2"/>
  <c r="Q24" i="2"/>
  <c r="Q26" i="2"/>
  <c r="Q28" i="2"/>
  <c r="F28" i="3"/>
  <c r="O27" i="3" a="1"/>
  <c r="R21" i="2"/>
  <c r="S18" i="2"/>
  <c r="Q28" i="3" a="1"/>
  <c r="N28" i="3" a="1"/>
  <c r="K28" i="3" a="1"/>
  <c r="H28" i="3" a="1"/>
  <c r="I28" i="3" a="1"/>
  <c r="L28" i="3" a="1"/>
  <c r="G28" i="3" a="1"/>
  <c r="M28" i="3" a="1"/>
  <c r="J28" i="3" a="1"/>
  <c r="S25" i="2"/>
  <c r="S19" i="2"/>
  <c r="S20" i="2"/>
  <c r="S29" i="2"/>
  <c r="N34" i="2"/>
  <c r="P25" i="3" a="1"/>
  <c r="S30" i="2"/>
  <c r="S31" i="2"/>
  <c r="T16" i="2"/>
  <c r="S27" i="2"/>
  <c r="R26" i="2"/>
  <c r="Q32" i="2"/>
  <c r="Q33" i="2"/>
  <c r="Q35" i="2"/>
  <c r="R24" i="2"/>
  <c r="R28" i="2"/>
  <c r="S28" i="2"/>
  <c r="F29" i="3"/>
  <c r="J29" i="3" a="1"/>
  <c r="S21" i="2"/>
  <c r="O28" i="3" a="1"/>
  <c r="G29" i="3" a="1"/>
  <c r="N29" i="3" a="1"/>
  <c r="L29" i="3" a="1"/>
  <c r="H29" i="3" a="1"/>
  <c r="I29" i="3" a="1"/>
  <c r="Q29" i="3" a="1"/>
  <c r="K29" i="3" a="1"/>
  <c r="M29" i="3" a="1"/>
  <c r="T25" i="2"/>
  <c r="T20" i="2"/>
  <c r="T19" i="2"/>
  <c r="T18" i="2"/>
  <c r="T29" i="2"/>
  <c r="O34" i="2"/>
  <c r="P26" i="3" a="1"/>
  <c r="T30" i="2"/>
  <c r="T31" i="2"/>
  <c r="U16" i="2"/>
  <c r="T27" i="2"/>
  <c r="R32" i="2"/>
  <c r="R33" i="2"/>
  <c r="R35" i="2"/>
  <c r="S24" i="2"/>
  <c r="S26" i="2"/>
  <c r="F30" i="3"/>
  <c r="J30" i="3" a="1"/>
  <c r="T28" i="2"/>
  <c r="M30" i="3" a="1"/>
  <c r="O29" i="3" a="1"/>
  <c r="Q30" i="3" a="1"/>
  <c r="G30" i="3" a="1"/>
  <c r="K30" i="3" a="1"/>
  <c r="I30" i="3" a="1"/>
  <c r="L30" i="3" a="1"/>
  <c r="N30" i="3" a="1"/>
  <c r="H30" i="3" a="1"/>
  <c r="T21" i="2"/>
  <c r="U18" i="2"/>
  <c r="U25" i="2"/>
  <c r="U20" i="2"/>
  <c r="U19" i="2"/>
  <c r="U29" i="2"/>
  <c r="P34" i="2"/>
  <c r="P27" i="3" a="1"/>
  <c r="U31" i="2"/>
  <c r="U30" i="2"/>
  <c r="V16" i="2"/>
  <c r="U27" i="2"/>
  <c r="S32" i="2"/>
  <c r="S33" i="2"/>
  <c r="S35" i="2"/>
  <c r="T24" i="2"/>
  <c r="T26" i="2"/>
  <c r="F31" i="3"/>
  <c r="J31" i="3" a="1"/>
  <c r="O30" i="3" a="1"/>
  <c r="U21" i="2"/>
  <c r="V18" i="2"/>
  <c r="N31" i="3" a="1"/>
  <c r="H31" i="3" a="1"/>
  <c r="I31" i="3" a="1"/>
  <c r="Q31" i="3" a="1"/>
  <c r="K31" i="3" a="1"/>
  <c r="G31" i="3" a="1"/>
  <c r="L31" i="3" a="1"/>
  <c r="M31" i="3" a="1"/>
  <c r="V20" i="2"/>
  <c r="V29" i="2"/>
  <c r="V19" i="2"/>
  <c r="V25" i="2"/>
  <c r="Q34" i="2"/>
  <c r="P28" i="3" a="1"/>
  <c r="V30" i="2"/>
  <c r="V31" i="2"/>
  <c r="W16" i="2"/>
  <c r="V27" i="2"/>
  <c r="T32" i="2"/>
  <c r="T33" i="2"/>
  <c r="T35" i="2"/>
  <c r="U26" i="2"/>
  <c r="U24" i="2"/>
  <c r="U28" i="2"/>
  <c r="F32" i="3"/>
  <c r="O31" i="3" a="1"/>
  <c r="N32" i="3" a="1"/>
  <c r="K32" i="3" a="1"/>
  <c r="Q32" i="3" a="1"/>
  <c r="H32" i="3" a="1"/>
  <c r="G32" i="3" a="1"/>
  <c r="I32" i="3" a="1"/>
  <c r="L32" i="3" a="1"/>
  <c r="M32" i="3" a="1"/>
  <c r="J32" i="3" a="1"/>
  <c r="V21" i="2"/>
  <c r="W18" i="2"/>
  <c r="W19" i="2"/>
  <c r="W20" i="2"/>
  <c r="W29" i="2"/>
  <c r="W25" i="2"/>
  <c r="R34" i="2"/>
  <c r="P29" i="3" a="1"/>
  <c r="W30" i="2"/>
  <c r="W31" i="2"/>
  <c r="X16" i="2"/>
  <c r="W27" i="2"/>
  <c r="V28" i="2"/>
  <c r="U32" i="2"/>
  <c r="U33" i="2"/>
  <c r="U35" i="2"/>
  <c r="V24" i="2"/>
  <c r="V26" i="2"/>
  <c r="F33" i="3"/>
  <c r="J33" i="3" a="1"/>
  <c r="W21" i="2"/>
  <c r="O32" i="3" a="1"/>
  <c r="L33" i="3" a="1"/>
  <c r="K33" i="3" a="1"/>
  <c r="G33" i="3" a="1"/>
  <c r="Q33" i="3" a="1"/>
  <c r="N33" i="3" a="1"/>
  <c r="H33" i="3" a="1"/>
  <c r="I33" i="3" a="1"/>
  <c r="M33" i="3" a="1"/>
  <c r="X29" i="2"/>
  <c r="X19" i="2"/>
  <c r="X20" i="2"/>
  <c r="X18" i="2"/>
  <c r="X25" i="2"/>
  <c r="S34" i="2"/>
  <c r="P30" i="3" a="1"/>
  <c r="X31" i="2"/>
  <c r="X30" i="2"/>
  <c r="Y16" i="2"/>
  <c r="X27" i="2"/>
  <c r="V32" i="2"/>
  <c r="V33" i="2"/>
  <c r="V35" i="2"/>
  <c r="W26" i="2"/>
  <c r="W24" i="2"/>
  <c r="W28" i="2"/>
  <c r="F34" i="3"/>
  <c r="O33" i="3" a="1"/>
  <c r="Q34" i="3" a="1"/>
  <c r="I34" i="3" a="1"/>
  <c r="L34" i="3" a="1"/>
  <c r="G34" i="3" a="1"/>
  <c r="K34" i="3" a="1"/>
  <c r="N34" i="3" a="1"/>
  <c r="H34" i="3" a="1"/>
  <c r="J34" i="3" a="1"/>
  <c r="M34" i="3" a="1"/>
  <c r="X21" i="2"/>
  <c r="Y18" i="2"/>
  <c r="Y19" i="2"/>
  <c r="Y20" i="2"/>
  <c r="Y29" i="2"/>
  <c r="Y25" i="2"/>
  <c r="T34" i="2"/>
  <c r="P31" i="3" a="1"/>
  <c r="Y31" i="2"/>
  <c r="Y30" i="2"/>
  <c r="Z16" i="2"/>
  <c r="Y27" i="2"/>
  <c r="W32" i="2"/>
  <c r="W33" i="2"/>
  <c r="W35" i="2"/>
  <c r="X24" i="2"/>
  <c r="X28" i="2"/>
  <c r="X26" i="2"/>
  <c r="F35" i="3"/>
  <c r="O34" i="3" a="1"/>
  <c r="Y21" i="2"/>
  <c r="Z18" i="2"/>
  <c r="H35" i="3" a="1"/>
  <c r="N35" i="3" a="1"/>
  <c r="I35" i="3" a="1"/>
  <c r="K35" i="3" a="1"/>
  <c r="Q35" i="3" a="1"/>
  <c r="L35" i="3" a="1"/>
  <c r="G35" i="3" a="1"/>
  <c r="J35" i="3" a="1"/>
  <c r="M35" i="3" a="1"/>
  <c r="Z29" i="2"/>
  <c r="Z20" i="2"/>
  <c r="Z19" i="2"/>
  <c r="Z25" i="2"/>
  <c r="U34" i="2"/>
  <c r="P32" i="3" a="1"/>
  <c r="Z30" i="2"/>
  <c r="Z31" i="2"/>
  <c r="AA16" i="2"/>
  <c r="Z27" i="2"/>
  <c r="X32" i="2"/>
  <c r="X33" i="2"/>
  <c r="X35" i="2"/>
  <c r="Y28" i="2"/>
  <c r="Z28" i="2"/>
  <c r="Y24" i="2"/>
  <c r="Y26" i="2"/>
  <c r="F36" i="3"/>
  <c r="J36" i="3" a="1"/>
  <c r="O35" i="3" a="1"/>
  <c r="H36" i="3" a="1"/>
  <c r="Q36" i="3" a="1"/>
  <c r="N36" i="3" a="1"/>
  <c r="K36" i="3" a="1"/>
  <c r="G36" i="3" a="1"/>
  <c r="L36" i="3" a="1"/>
  <c r="I36" i="3" a="1"/>
  <c r="M36" i="3" a="1"/>
  <c r="Z21" i="2"/>
  <c r="AA18" i="2"/>
  <c r="AA20" i="2"/>
  <c r="AA19" i="2"/>
  <c r="AA29" i="2"/>
  <c r="V34" i="2"/>
  <c r="P33" i="3" a="1"/>
  <c r="AA25" i="2"/>
  <c r="AA30" i="2"/>
  <c r="AA31" i="2"/>
  <c r="AB16" i="2"/>
  <c r="AA27" i="2"/>
  <c r="Y32" i="2"/>
  <c r="Y33" i="2"/>
  <c r="Y35" i="2"/>
  <c r="Z24" i="2"/>
  <c r="Z26" i="2"/>
  <c r="F37" i="3"/>
  <c r="J37" i="3" a="1"/>
  <c r="O36" i="3" a="1"/>
  <c r="AA21" i="2"/>
  <c r="AB18" i="2"/>
  <c r="Q37" i="3" a="1"/>
  <c r="G37" i="3" a="1"/>
  <c r="L37" i="3" a="1"/>
  <c r="I37" i="3" a="1"/>
  <c r="N37" i="3" a="1"/>
  <c r="K37" i="3" a="1"/>
  <c r="H37" i="3" a="1"/>
  <c r="M37" i="3" a="1"/>
  <c r="AB29" i="2"/>
  <c r="AB20" i="2"/>
  <c r="AB19" i="2"/>
  <c r="W34" i="2"/>
  <c r="P34" i="3" a="1"/>
  <c r="AB25" i="2"/>
  <c r="AB30" i="2"/>
  <c r="AB31" i="2"/>
  <c r="AC16" i="2"/>
  <c r="AB27" i="2"/>
  <c r="Z32" i="2"/>
  <c r="Z33" i="2"/>
  <c r="Z35" i="2"/>
  <c r="AA24" i="2"/>
  <c r="AA26" i="2"/>
  <c r="AA28" i="2"/>
  <c r="F38" i="3"/>
  <c r="M38" i="3" a="1"/>
  <c r="O37" i="3" a="1"/>
  <c r="K38" i="3" a="1"/>
  <c r="G38" i="3" a="1"/>
  <c r="N38" i="3" a="1"/>
  <c r="L38" i="3" a="1"/>
  <c r="I38" i="3" a="1"/>
  <c r="H38" i="3" a="1"/>
  <c r="Q38" i="3" a="1"/>
  <c r="J38" i="3" a="1"/>
  <c r="AB21" i="2"/>
  <c r="AC18" i="2"/>
  <c r="AC20" i="2"/>
  <c r="AC19" i="2"/>
  <c r="AC29" i="2"/>
  <c r="X34" i="2"/>
  <c r="P35" i="3" a="1"/>
  <c r="AC25" i="2"/>
  <c r="AC31" i="2"/>
  <c r="AC30" i="2"/>
  <c r="AD16" i="2"/>
  <c r="AC27" i="2"/>
  <c r="AA32" i="2"/>
  <c r="AA33" i="2"/>
  <c r="AA35" i="2"/>
  <c r="AB26" i="2"/>
  <c r="AB24" i="2"/>
  <c r="AB28" i="2"/>
  <c r="F39" i="3"/>
  <c r="J39" i="3" a="1"/>
  <c r="O38" i="3" a="1"/>
  <c r="AC21" i="2"/>
  <c r="AD18" i="2"/>
  <c r="Q39" i="3" a="1"/>
  <c r="H39" i="3" a="1"/>
  <c r="N39" i="3" a="1"/>
  <c r="I39" i="3" a="1"/>
  <c r="G39" i="3" a="1"/>
  <c r="K39" i="3" a="1"/>
  <c r="L39" i="3" a="1"/>
  <c r="M39" i="3" a="1"/>
  <c r="AD29" i="2"/>
  <c r="AD20" i="2"/>
  <c r="AD19" i="2"/>
  <c r="Y34" i="2"/>
  <c r="P36" i="3" a="1"/>
  <c r="AD25" i="2"/>
  <c r="AD31" i="2"/>
  <c r="AD30" i="2"/>
  <c r="AE16" i="2"/>
  <c r="AD27" i="2"/>
  <c r="AB32" i="2"/>
  <c r="AB33" i="2"/>
  <c r="AB35" i="2"/>
  <c r="AC24" i="2"/>
  <c r="AC28" i="2"/>
  <c r="AC26" i="2"/>
  <c r="F40" i="3"/>
  <c r="M40" i="3" a="1"/>
  <c r="AD21" i="2"/>
  <c r="O39" i="3" a="1"/>
  <c r="H40" i="3" a="1"/>
  <c r="K40" i="3" a="1"/>
  <c r="N40" i="3" a="1"/>
  <c r="I40" i="3" a="1"/>
  <c r="Q40" i="3" a="1"/>
  <c r="G40" i="3" a="1"/>
  <c r="L40" i="3" a="1"/>
  <c r="J40" i="3" a="1"/>
  <c r="AE19" i="2"/>
  <c r="AE20" i="2"/>
  <c r="AE18" i="2"/>
  <c r="AE29" i="2"/>
  <c r="Z34" i="2"/>
  <c r="P37" i="3" a="1"/>
  <c r="AE25" i="2"/>
  <c r="AE30" i="2"/>
  <c r="AE31" i="2"/>
  <c r="AE27" i="2"/>
  <c r="AC32" i="2"/>
  <c r="AC33" i="2"/>
  <c r="AC35" i="2"/>
  <c r="AD24" i="2"/>
  <c r="AD26" i="2"/>
  <c r="AD28" i="2"/>
  <c r="F41" i="3"/>
  <c r="J41" i="3" a="1"/>
  <c r="AE21" i="2"/>
  <c r="O40" i="3" a="1"/>
  <c r="M41" i="3" a="1"/>
  <c r="N41" i="3" a="1"/>
  <c r="L41" i="3" a="1"/>
  <c r="I41" i="3" a="1"/>
  <c r="Q41" i="3" a="1"/>
  <c r="G41" i="3" a="1"/>
  <c r="K41" i="3" a="1"/>
  <c r="H41" i="3" a="1"/>
  <c r="AA34" i="2"/>
  <c r="P38" i="3" a="1"/>
  <c r="AD32" i="2"/>
  <c r="AD33" i="2"/>
  <c r="AD35" i="2"/>
  <c r="AE24" i="2"/>
  <c r="AE28" i="2"/>
  <c r="AE26" i="2"/>
  <c r="F42" i="3"/>
  <c r="O41" i="3" a="1"/>
  <c r="K42" i="3" a="1"/>
  <c r="N42" i="3" a="1"/>
  <c r="L42" i="3" a="1"/>
  <c r="I42" i="3" a="1"/>
  <c r="G42" i="3" a="1"/>
  <c r="Q42" i="3" a="1"/>
  <c r="H42" i="3" a="1"/>
  <c r="M42" i="3" a="1"/>
  <c r="J42" i="3" a="1"/>
  <c r="AB34" i="2"/>
  <c r="P39" i="3" a="1"/>
  <c r="AE32" i="2"/>
  <c r="AE33" i="2"/>
  <c r="O42" i="3" a="1"/>
  <c r="AC34" i="2"/>
  <c r="P40" i="3" a="1"/>
  <c r="AE35" i="2"/>
  <c r="B36" i="2"/>
  <c r="B40" i="2"/>
  <c r="C40" i="2"/>
  <c r="B27" i="3"/>
  <c r="B32" i="3"/>
  <c r="AD34" i="2"/>
  <c r="P41" i="3" a="1"/>
  <c r="B39" i="2"/>
  <c r="C39" i="2"/>
  <c r="B26" i="3"/>
  <c r="B25" i="3"/>
  <c r="B30" i="3"/>
  <c r="AE34" i="2"/>
  <c r="P42" i="3" a="1"/>
  <c r="B3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Samuel Trester</author>
  </authors>
  <commentList>
    <comment ref="A9" authorId="0" shapeId="0" xr:uid="{C12475F7-8AD7-4E99-B06C-31D88A87AB84}">
      <text>
        <r>
          <rPr>
            <sz val="9"/>
            <color indexed="81"/>
            <rFont val="Segoe UI"/>
            <family val="2"/>
          </rPr>
          <t>Aschaffungs-, Instalations-, Erschließungs- und Präventionskosten</t>
        </r>
      </text>
    </comment>
    <comment ref="A11" authorId="0" shapeId="0" xr:uid="{3200B34C-5AF0-434D-859B-4D26FA8DF446}">
      <text>
        <r>
          <rPr>
            <sz val="9"/>
            <color indexed="81"/>
            <rFont val="Segoe UI"/>
            <charset val="1"/>
          </rPr>
          <t>Bedarfsgebundene Kosten werden aus aus den einzelenen Energiekosten erstellt.</t>
        </r>
      </text>
    </comment>
    <comment ref="A20" authorId="0" shapeId="0" xr:uid="{5D892884-D1F6-482C-9209-EE3BAC3654D8}">
      <text>
        <r>
          <rPr>
            <sz val="9"/>
            <color indexed="81"/>
            <rFont val="Segoe UI"/>
            <family val="2"/>
          </rPr>
          <t>Kosten für den Betrieb der Anlage.</t>
        </r>
      </text>
    </comment>
    <comment ref="A21" authorId="0" shapeId="0" xr:uid="{8F9F255C-AD26-46F6-B73E-CBE2589C6F63}">
      <text>
        <r>
          <rPr>
            <sz val="9"/>
            <color indexed="81"/>
            <rFont val="Segoe UI"/>
            <family val="2"/>
          </rPr>
          <t>Kosten für Instandhaltung bezogen auf Kapitalgebundene Kosten.</t>
        </r>
      </text>
    </comment>
    <comment ref="A22" authorId="0" shapeId="0" xr:uid="{A75D08EC-0BAE-4E2C-B3AE-C23C4754D2E1}">
      <text>
        <r>
          <rPr>
            <sz val="9"/>
            <color indexed="81"/>
            <rFont val="Segoe UI"/>
            <family val="2"/>
          </rPr>
          <t>Kosten für Wartung und Inspektion bezogen auf die Kapitalgebundenen Kosten.</t>
        </r>
      </text>
    </comment>
    <comment ref="A23" authorId="0" shapeId="0" xr:uid="{9A3677D8-D17C-41E9-9E6B-A84A9C2D9D8D}">
      <text>
        <r>
          <rPr>
            <sz val="9"/>
            <color indexed="81"/>
            <rFont val="Segoe UI"/>
            <family val="2"/>
          </rPr>
          <t>Anzahl der Arbeitsstunden pro Jahr.</t>
        </r>
      </text>
    </comment>
    <comment ref="A24" authorId="0" shapeId="0" xr:uid="{FCA9C659-9224-4B19-A67F-6123B479A986}">
      <text>
        <r>
          <rPr>
            <sz val="9"/>
            <color indexed="81"/>
            <rFont val="Segoe UI"/>
            <family val="2"/>
          </rPr>
          <t>Lohnkosten pro Arbeitsstunde.</t>
        </r>
      </text>
    </comment>
    <comment ref="A25" authorId="0" shapeId="0" xr:uid="{DB11FC04-1270-4EAD-87A9-72F61BA48F00}">
      <text>
        <r>
          <rPr>
            <sz val="9"/>
            <color indexed="81"/>
            <rFont val="Segoe UI"/>
            <family val="2"/>
          </rPr>
          <t>Jährliche Lohnerhöhung in Prozent.</t>
        </r>
      </text>
    </comment>
    <comment ref="A27" authorId="0" shapeId="0" xr:uid="{53AF70B5-F1BD-4BA1-A7EB-4325502BCD69}">
      <text>
        <r>
          <rPr>
            <sz val="9"/>
            <color indexed="81"/>
            <rFont val="Segoe UI"/>
            <family val="2"/>
          </rPr>
          <t>Einzelne Baugruppen, die nach x Jahren ausgetauscht werden.</t>
        </r>
      </text>
    </comment>
    <comment ref="A31" authorId="0" shapeId="0" xr:uid="{A96632BC-389C-4F7B-9332-7920D8DB54B8}">
      <text>
        <r>
          <rPr>
            <sz val="9"/>
            <color indexed="81"/>
            <rFont val="Segoe UI"/>
            <family val="2"/>
          </rPr>
          <t>Kosten die nur indirekt am Betrieb beteiligt sind.
z.B.: Telefonkosten, Versicherungen</t>
        </r>
      </text>
    </comment>
    <comment ref="A35" authorId="0" shapeId="0" xr:uid="{0827D14C-8D5E-4A3E-9505-5801627C99E6}">
      <text>
        <r>
          <rPr>
            <sz val="9"/>
            <color indexed="81"/>
            <rFont val="Segoe UI"/>
            <family val="2"/>
          </rPr>
          <t>Jährliche Erlöse durch Anlage erwirtschaftet und staatliche Förderungen. Die Förderung wird nur eine gewisse Zeit lang bezahlt.</t>
        </r>
      </text>
    </comment>
    <comment ref="A39" authorId="0" shapeId="0" xr:uid="{1E16DFBD-CCCF-412E-A3B1-3EF5CB2F3724}">
      <text>
        <r>
          <rPr>
            <sz val="9"/>
            <color indexed="81"/>
            <rFont val="Segoe UI"/>
            <family val="2"/>
          </rPr>
          <t>Restwert der Anlage nach den Nutzungsjahren. Erwarteter Preis im Jahr x.</t>
        </r>
      </text>
    </comment>
    <comment ref="A43" authorId="0" shapeId="0" xr:uid="{02CDEC97-46BE-494B-98B0-EAF4E8270074}">
      <text>
        <r>
          <rPr>
            <sz val="9"/>
            <color indexed="81"/>
            <rFont val="Segoe UI"/>
            <family val="2"/>
          </rPr>
          <t>Nutzungsjahre geben an, wie lange die Anlage Betrieben wird.</t>
        </r>
      </text>
    </comment>
    <comment ref="A51" authorId="0" shapeId="0" xr:uid="{E4707CAB-B4D8-4082-9E70-5F03252BC657}">
      <text>
        <r>
          <rPr>
            <sz val="9"/>
            <color indexed="81"/>
            <rFont val="Segoe UI"/>
            <family val="2"/>
          </rPr>
          <t>Erhoffte Rendite, bzw. Rendite einer Opportunität.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<sst xmlns="http://schemas.openxmlformats.org/spreadsheetml/2006/main" count="116" uniqueCount="80">
  <si>
    <t>Kapitalgebundene Kosten</t>
  </si>
  <si>
    <t>Bedarfsgebundene Kosten</t>
  </si>
  <si>
    <t>Betriebsgebundenen Kosten</t>
  </si>
  <si>
    <t>Sonstige Kosten</t>
  </si>
  <si>
    <t>Erlöse</t>
  </si>
  <si>
    <t xml:space="preserve">Abzinsungsfaktor </t>
  </si>
  <si>
    <t>Restwert</t>
  </si>
  <si>
    <t>Faktor Wartung/Inspektion</t>
  </si>
  <si>
    <t>Nutzungsjahre</t>
  </si>
  <si>
    <t>Kälte</t>
  </si>
  <si>
    <t>Wärme</t>
  </si>
  <si>
    <t xml:space="preserve">Strom </t>
  </si>
  <si>
    <t>Wasser</t>
  </si>
  <si>
    <t>kWh</t>
  </si>
  <si>
    <t>€/kWh</t>
  </si>
  <si>
    <t>Ersatzbeschaffungen</t>
  </si>
  <si>
    <t xml:space="preserve">diese Seite gilt nur den Berechnungen der Parameter und Endergebnisse </t>
  </si>
  <si>
    <t>Jahre</t>
  </si>
  <si>
    <t xml:space="preserve">Kapitalgebundene </t>
  </si>
  <si>
    <t>Bedarfsgebunden</t>
  </si>
  <si>
    <t>Ersatzbeschaffung</t>
  </si>
  <si>
    <t>Betriebsgebunden</t>
  </si>
  <si>
    <t>Saldo</t>
  </si>
  <si>
    <t>Name des Erstellers</t>
  </si>
  <si>
    <t>Anlagenbezeichnung</t>
  </si>
  <si>
    <t>Datum der Erstellung</t>
  </si>
  <si>
    <t>Ersteller</t>
  </si>
  <si>
    <t>Betriebsgebundene Kosten</t>
  </si>
  <si>
    <t xml:space="preserve">Kapitalwert </t>
  </si>
  <si>
    <t>in Jahr</t>
  </si>
  <si>
    <t>Berechnungsdatum</t>
  </si>
  <si>
    <t xml:space="preserve">Amortisationszeit </t>
  </si>
  <si>
    <t>Einstufung nach der Kapitalwertmethode:</t>
  </si>
  <si>
    <t>Lin. Abschr.</t>
  </si>
  <si>
    <t>1.</t>
  </si>
  <si>
    <t>2.</t>
  </si>
  <si>
    <t>Förderung</t>
  </si>
  <si>
    <t>jährlich</t>
  </si>
  <si>
    <t>Jahr</t>
  </si>
  <si>
    <t>Saldo verzinst</t>
  </si>
  <si>
    <t>Lohnerhöhung</t>
  </si>
  <si>
    <t>Faktor Preisveränderung Energie</t>
  </si>
  <si>
    <t xml:space="preserve">Laufzeit in Jahren </t>
  </si>
  <si>
    <t>Erlöse jährlich</t>
  </si>
  <si>
    <t xml:space="preserve">Kapitalgebundene Kosten </t>
  </si>
  <si>
    <t>Erlössteigerung</t>
  </si>
  <si>
    <t>Preissteigerung Sonstige Kosten</t>
  </si>
  <si>
    <t>m³</t>
  </si>
  <si>
    <t>€/m³</t>
  </si>
  <si>
    <t>Gas</t>
  </si>
  <si>
    <t xml:space="preserve">Faktor Bedienung </t>
  </si>
  <si>
    <t xml:space="preserve">Kosten Bedienung </t>
  </si>
  <si>
    <t>Laufzeit:</t>
  </si>
  <si>
    <t>Wartung/Inspektion</t>
  </si>
  <si>
    <t>Lohn</t>
  </si>
  <si>
    <t>Kapitalgebunde Kosten</t>
  </si>
  <si>
    <t>Jährliche Erlöse</t>
  </si>
  <si>
    <t>pro Jahr</t>
  </si>
  <si>
    <t>einmalig</t>
  </si>
  <si>
    <t>Dynamische</t>
  </si>
  <si>
    <t>Kapitalwert</t>
  </si>
  <si>
    <t>Statisch</t>
  </si>
  <si>
    <t>Dynamische Amortisationszeit</t>
  </si>
  <si>
    <t>Statische Amortisationszeit</t>
  </si>
  <si>
    <t>Einstufung nach der statischen Amortisationszeit:</t>
  </si>
  <si>
    <t>Einstufung nach der dynamischen Amortisationszeit:</t>
  </si>
  <si>
    <t>Parameter-Eingabe</t>
  </si>
  <si>
    <t>Kostenarten</t>
  </si>
  <si>
    <t>Faktoren und Preisänderungen</t>
  </si>
  <si>
    <t>Faktor Instandhaltung</t>
  </si>
  <si>
    <t>Anlagevermögen</t>
  </si>
  <si>
    <t>Stand am 1.1</t>
  </si>
  <si>
    <t>Investitionen</t>
  </si>
  <si>
    <t>Abschreibungen</t>
  </si>
  <si>
    <t>Stand am 31.12</t>
  </si>
  <si>
    <t>Anlage XY</t>
  </si>
  <si>
    <t>Max Mustermann</t>
  </si>
  <si>
    <t>https://www.umwelt-campus.de/energietools</t>
  </si>
  <si>
    <t>Stand: 04.08.2026</t>
  </si>
  <si>
    <r>
      <t xml:space="preserve">Copyright © 2026, Prof. Dr. Henrik te Heesen
Dieses Tool ist freie Software. Sie können es unter den Bedingungen der GNU General Public License, wie von der Free Software Foundation veröffentlicht, weitergeben und/oder modifizieren, entweder gemäß Version 3 der Lizenz oder (nach Ihrer Option) jeder späteren Version.
Die Veröffentlichung dieses Programms erfolgt in der Hoffnung, dass es Ihnen von Nutzen sein wird, aber OHNE IRGENDEINE GARANTIE, sogar ohne die implizite Garantie der MARKTREIFE oder der VERWENDBARKEIT FÜR EINEN BESTIMMTEN ZWECK. Details finden Sie in der GNU General Public License. </t>
    </r>
    <r>
      <rPr>
        <u/>
        <sz val="10"/>
        <color theme="1"/>
        <rFont val="Verdana"/>
        <family val="2"/>
      </rPr>
      <t>https://www.gnu.org/licenses/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</si>
</sst>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0\ &quot;€&quot;;[Red]\-#,##0\ &quot;€&quot;"/>
    <numFmt numFmtId="8" formatCode="#,##0.00\ &quot;€&quot;;[Red]\-#,##0.00\ &quot;€&quot;"/>
    <numFmt numFmtId="44" formatCode="_-* #,##0.00\ &quot;€&quot;_-;\-* #,##0.00\ &quot;€&quot;_-;_-* &quot;-&quot;??\ &quot;€&quot;_-;_-@_-"/>
    <numFmt numFmtId="164" formatCode="#,##0.00_ ;[Red]\-#,##0.00\ "/>
    <numFmt numFmtId="165" formatCode="#,##0_ ;[Red]\-#,##0\ "/>
    <numFmt numFmtId="166" formatCode="#,##0.00\ &quot;€&quot;"/>
    <numFmt numFmtId="167" formatCode="#,##0.00\ &quot;kWh&quot;"/>
    <numFmt numFmtId="168" formatCode="#,##0.00\ &quot;€/kWh&quot;"/>
    <numFmt numFmtId="169" formatCode="#,##0.00\ &quot;m³&quot;"/>
    <numFmt numFmtId="170" formatCode="#,##0.00\ &quot;€/m³&quot;"/>
    <numFmt numFmtId="171" formatCode="#,##0.00\ &quot;h&quot;"/>
    <numFmt numFmtId="172" formatCode="#,##0.00\ &quot;€/h&quot;"/>
    <numFmt numFmtId="173" formatCode="0\ &quot;Jahre&quot;"/>
    <numFmt numFmtId="174" formatCode="0.00\ &quot;Jahre&quot;"/>
    <numFmt numFmtId="175" formatCode="0.0%"/>
    <numFmt numFmtId="176" formatCode="#,##0\ &quot;Jahre&quot;"/>
    <numFmt numFmtId="177" formatCode="#,##0.00\ &quot;Jahre&quot;"/>
  </numFmts>
  <fonts count="21" x14ac:knownFonts="1">
    <font>
      <sz val="11"/>
      <color theme="1"/>
      <name val="Calibri"/>
      <family val="2"/>
      <scheme val="minor"/>
    </font>
    <font>
      <b/>
      <sz val="14"/>
      <color theme="1"/>
      <name val="Verdana"/>
      <family val="2"/>
    </font>
    <font>
      <sz val="11"/>
      <color theme="1"/>
      <name val="Verdana"/>
      <family val="2"/>
    </font>
    <font>
      <b/>
      <sz val="11"/>
      <color theme="1"/>
      <name val="Verdana"/>
      <family val="2"/>
    </font>
    <font>
      <sz val="11"/>
      <color rgb="FF003B5C"/>
      <name val="Verdana"/>
      <family val="2"/>
    </font>
    <font>
      <sz val="11"/>
      <color rgb="FFBE531C"/>
      <name val="Verdana"/>
      <family val="2"/>
    </font>
    <font>
      <sz val="11"/>
      <color rgb="FFA1D884"/>
      <name val="Verdana"/>
      <family val="2"/>
    </font>
    <font>
      <sz val="11"/>
      <color rgb="FF8FD6BD"/>
      <name val="Verdana"/>
      <family val="2"/>
    </font>
    <font>
      <sz val="11"/>
      <color rgb="FF43B02A"/>
      <name val="Verdana"/>
      <family val="2"/>
    </font>
    <font>
      <sz val="8"/>
      <color theme="1"/>
      <name val="Verdana"/>
      <family val="2"/>
    </font>
    <font>
      <sz val="6"/>
      <color theme="1"/>
      <name val="Verdana"/>
      <family val="2"/>
    </font>
    <font>
      <b/>
      <sz val="14"/>
      <name val="Verdana"/>
      <family val="2"/>
    </font>
    <font>
      <sz val="11"/>
      <color theme="1"/>
      <name val="Calibri"/>
      <family val="2"/>
      <scheme val="minor"/>
    </font>
    <font>
      <b/>
      <sz val="11"/>
      <name val="Verdana"/>
      <family val="2"/>
    </font>
    <font>
      <b/>
      <sz val="10"/>
      <color theme="1"/>
      <name val="Verdana"/>
      <family val="2"/>
    </font>
    <font>
      <sz val="10"/>
      <color theme="1"/>
      <name val="Verdana"/>
      <family val="2"/>
    </font>
    <font>
      <b/>
      <sz val="14"/>
      <color theme="0"/>
      <name val="Verdana"/>
      <family val="2"/>
    </font>
    <font>
      <u/>
      <sz val="11"/>
      <color theme="10"/>
      <name val="Calibri"/>
      <family val="2"/>
      <scheme val="minor"/>
    </font>
    <font>
      <u/>
      <sz val="10"/>
      <color theme="1"/>
      <name val="Verdana"/>
      <family val="2"/>
    </font>
    <font>
      <sz val="9"/>
      <color indexed="81"/>
      <name val="Segoe UI"/>
      <charset val="1"/>
    </font>
    <font>
      <sz val="9"/>
      <color indexed="81"/>
      <name val="Segoe UI"/>
      <family val="2"/>
    </font>
  </fonts>
  <fills count="7">
    <fill>
      <patternFill patternType="none"/>
    </fill>
    <fill>
      <patternFill patternType="gray125"/>
    </fill>
    <fill>
      <patternFill patternType="solid">
        <fgColor rgb="FFFFFF00"/>
        <bgColor indexed="64"/>
      </patternFill>
    </fill>
    <fill>
      <patternFill patternType="solid">
        <fgColor rgb="FFA1D884"/>
        <bgColor indexed="64"/>
      </patternFill>
    </fill>
    <fill>
      <patternFill patternType="solid">
        <fgColor theme="0"/>
        <bgColor indexed="64"/>
      </patternFill>
    </fill>
    <fill>
      <patternFill patternType="solid">
        <fgColor rgb="FF003B5C"/>
        <bgColor indexed="64"/>
      </patternFill>
    </fill>
    <fill>
      <patternFill patternType="solid">
        <fgColor theme="4"/>
        <bgColor indexed="64"/>
      </patternFill>
    </fill>
  </fills>
  <borders count="13">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ck">
        <color auto="1"/>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s>
  <cellStyleXfs count="3">
    <xf numFmtId="0" fontId="0" fillId="0" borderId="0"/>
    <xf numFmtId="44" fontId="12" fillId="0" borderId="0" applyFont="0" applyFill="0" applyBorder="0" applyAlignment="0" applyProtection="0"/>
    <xf numFmtId="0" fontId="17" fillId="0" borderId="0" applyNumberFormat="0" applyFill="0" applyBorder="0" applyAlignment="0" applyProtection="0"/>
  </cellStyleXfs>
  <cellXfs count="129">
    <xf numFmtId="0" fontId="0" fillId="0" borderId="0" xfId="0"/>
    <xf numFmtId="0" fontId="2" fillId="0" borderId="0" xfId="0" applyFont="1"/>
    <xf numFmtId="0" fontId="3" fillId="0" borderId="0" xfId="0" applyFont="1"/>
    <xf numFmtId="0" fontId="2" fillId="0" borderId="0" xfId="0" applyFont="1" applyAlignment="1">
      <alignment horizontal="center"/>
    </xf>
    <xf numFmtId="166" fontId="2" fillId="0" borderId="0" xfId="0" applyNumberFormat="1" applyFont="1" applyAlignment="1">
      <alignment horizontal="center"/>
    </xf>
    <xf numFmtId="4" fontId="2" fillId="0" borderId="0" xfId="0" applyNumberFormat="1" applyFont="1"/>
    <xf numFmtId="10" fontId="2" fillId="0" borderId="0" xfId="0" applyNumberFormat="1" applyFont="1" applyAlignment="1">
      <alignment horizontal="center"/>
    </xf>
    <xf numFmtId="0" fontId="3" fillId="0" borderId="1" xfId="0" applyFont="1" applyBorder="1"/>
    <xf numFmtId="4" fontId="2" fillId="0" borderId="0" xfId="0" applyNumberFormat="1" applyFont="1" applyAlignment="1">
      <alignment horizontal="center"/>
    </xf>
    <xf numFmtId="4" fontId="2" fillId="0" borderId="1" xfId="0" applyNumberFormat="1" applyFont="1" applyBorder="1"/>
    <xf numFmtId="0" fontId="2" fillId="0" borderId="1" xfId="0" applyFont="1" applyBorder="1" applyAlignment="1">
      <alignment horizontal="center"/>
    </xf>
    <xf numFmtId="0" fontId="2" fillId="0" borderId="0" xfId="0" applyFont="1" applyAlignment="1">
      <alignment horizontal="left"/>
    </xf>
    <xf numFmtId="165" fontId="9" fillId="0" borderId="0" xfId="0" applyNumberFormat="1" applyFont="1"/>
    <xf numFmtId="165" fontId="10" fillId="0" borderId="0" xfId="0" applyNumberFormat="1" applyFont="1"/>
    <xf numFmtId="6" fontId="9" fillId="0" borderId="0" xfId="0" applyNumberFormat="1" applyFont="1"/>
    <xf numFmtId="6" fontId="10" fillId="0" borderId="0" xfId="0" applyNumberFormat="1" applyFont="1"/>
    <xf numFmtId="8" fontId="2" fillId="0" borderId="0" xfId="0" applyNumberFormat="1" applyFont="1" applyAlignment="1">
      <alignment horizontal="left"/>
    </xf>
    <xf numFmtId="8" fontId="3" fillId="0" borderId="0" xfId="0" applyNumberFormat="1" applyFont="1"/>
    <xf numFmtId="8" fontId="3" fillId="0" borderId="0" xfId="0" applyNumberFormat="1" applyFont="1" applyAlignment="1">
      <alignment horizontal="center"/>
    </xf>
    <xf numFmtId="10" fontId="2" fillId="0" borderId="1" xfId="0" applyNumberFormat="1" applyFont="1" applyBorder="1" applyAlignment="1">
      <alignment horizontal="center"/>
    </xf>
    <xf numFmtId="0" fontId="2" fillId="0" borderId="2" xfId="0" applyFont="1" applyBorder="1" applyAlignment="1">
      <alignment horizontal="center"/>
    </xf>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1" fillId="0" borderId="0" xfId="0" applyFont="1"/>
    <xf numFmtId="0" fontId="11" fillId="0" borderId="0" xfId="0" applyFont="1"/>
    <xf numFmtId="0" fontId="2" fillId="0" borderId="1" xfId="0" applyFont="1" applyBorder="1"/>
    <xf numFmtId="4" fontId="2" fillId="0" borderId="3" xfId="0" applyNumberFormat="1" applyFont="1" applyBorder="1" applyAlignment="1">
      <alignment horizontal="center"/>
    </xf>
    <xf numFmtId="4" fontId="2" fillId="0" borderId="3" xfId="0" applyNumberFormat="1" applyFont="1" applyBorder="1"/>
    <xf numFmtId="0" fontId="1" fillId="4" borderId="0" xfId="0" applyFont="1" applyFill="1" applyAlignment="1">
      <alignment horizontal="center"/>
    </xf>
    <xf numFmtId="4" fontId="2" fillId="0" borderId="6" xfId="0" applyNumberFormat="1" applyFont="1" applyBorder="1" applyAlignment="1">
      <alignment horizontal="center"/>
    </xf>
    <xf numFmtId="0" fontId="11" fillId="0" borderId="0" xfId="0" applyFont="1" applyAlignment="1">
      <alignment horizontal="center"/>
    </xf>
    <xf numFmtId="9" fontId="2" fillId="0" borderId="0" xfId="0" applyNumberFormat="1" applyFont="1"/>
    <xf numFmtId="9" fontId="2" fillId="0" borderId="0" xfId="0" applyNumberFormat="1" applyFont="1" applyAlignment="1">
      <alignment horizontal="center"/>
    </xf>
    <xf numFmtId="8" fontId="2" fillId="0" borderId="0" xfId="0" applyNumberFormat="1" applyFont="1" applyAlignment="1">
      <alignment horizontal="center"/>
    </xf>
    <xf numFmtId="8" fontId="2" fillId="0" borderId="1" xfId="0" applyNumberFormat="1" applyFont="1" applyBorder="1" applyAlignment="1">
      <alignment horizontal="center"/>
    </xf>
    <xf numFmtId="0" fontId="2" fillId="0" borderId="4" xfId="0" applyFont="1" applyBorder="1" applyAlignment="1">
      <alignment horizontal="center"/>
    </xf>
    <xf numFmtId="167" fontId="2" fillId="0" borderId="3" xfId="0" applyNumberFormat="1" applyFont="1" applyBorder="1" applyAlignment="1">
      <alignment horizontal="center"/>
    </xf>
    <xf numFmtId="168" fontId="2" fillId="0" borderId="4" xfId="0" applyNumberFormat="1" applyFont="1" applyBorder="1" applyAlignment="1">
      <alignment horizontal="center"/>
    </xf>
    <xf numFmtId="165" fontId="2" fillId="0" borderId="0" xfId="0" applyNumberFormat="1" applyFont="1" applyAlignment="1">
      <alignment horizontal="center"/>
    </xf>
    <xf numFmtId="0" fontId="3" fillId="0" borderId="0" xfId="0" applyFont="1" applyAlignment="1">
      <alignment horizontal="left"/>
    </xf>
    <xf numFmtId="0" fontId="3" fillId="0" borderId="1" xfId="0" applyFont="1" applyBorder="1" applyAlignment="1">
      <alignment horizontal="left"/>
    </xf>
    <xf numFmtId="0" fontId="3" fillId="0" borderId="0" xfId="0" applyFont="1" applyAlignment="1">
      <alignment horizontal="center"/>
    </xf>
    <xf numFmtId="1" fontId="15" fillId="0" borderId="4" xfId="0" applyNumberFormat="1" applyFont="1" applyBorder="1" applyAlignment="1">
      <alignment horizontal="center"/>
    </xf>
    <xf numFmtId="6" fontId="15" fillId="0" borderId="4" xfId="0" applyNumberFormat="1" applyFont="1" applyBorder="1" applyAlignment="1">
      <alignment horizontal="center"/>
    </xf>
    <xf numFmtId="1" fontId="15" fillId="0" borderId="3" xfId="0" applyNumberFormat="1" applyFont="1" applyBorder="1" applyAlignment="1">
      <alignment horizontal="center"/>
    </xf>
    <xf numFmtId="6" fontId="15" fillId="0" borderId="3" xfId="0" applyNumberFormat="1" applyFont="1" applyBorder="1" applyAlignment="1">
      <alignment horizontal="center"/>
    </xf>
    <xf numFmtId="1" fontId="15" fillId="0" borderId="0" xfId="0" applyNumberFormat="1" applyFont="1" applyAlignment="1">
      <alignment horizontal="center"/>
    </xf>
    <xf numFmtId="6" fontId="15" fillId="0" borderId="0" xfId="0" applyNumberFormat="1" applyFont="1" applyAlignment="1">
      <alignment horizontal="center"/>
    </xf>
    <xf numFmtId="1" fontId="15" fillId="0" borderId="0" xfId="0" applyNumberFormat="1" applyFont="1"/>
    <xf numFmtId="0" fontId="15" fillId="0" borderId="0" xfId="0" applyFont="1"/>
    <xf numFmtId="174" fontId="3" fillId="0" borderId="0" xfId="0" applyNumberFormat="1" applyFont="1" applyAlignment="1">
      <alignment horizontal="center"/>
    </xf>
    <xf numFmtId="2" fontId="3" fillId="0" borderId="0" xfId="0" applyNumberFormat="1" applyFont="1"/>
    <xf numFmtId="14" fontId="2" fillId="0" borderId="0" xfId="0" applyNumberFormat="1" applyFont="1" applyAlignment="1">
      <alignment horizontal="center"/>
    </xf>
    <xf numFmtId="173" fontId="2" fillId="0" borderId="0" xfId="0" applyNumberFormat="1" applyFont="1" applyAlignment="1">
      <alignment horizontal="center"/>
    </xf>
    <xf numFmtId="0" fontId="2" fillId="0" borderId="12" xfId="0" applyFont="1" applyBorder="1"/>
    <xf numFmtId="0" fontId="2" fillId="0" borderId="12" xfId="0" applyFont="1" applyBorder="1" applyAlignment="1">
      <alignment horizontal="center"/>
    </xf>
    <xf numFmtId="166" fontId="3" fillId="0" borderId="1" xfId="0" applyNumberFormat="1" applyFont="1" applyBorder="1" applyAlignment="1">
      <alignment horizontal="center"/>
    </xf>
    <xf numFmtId="165" fontId="3" fillId="0" borderId="0" xfId="0" applyNumberFormat="1" applyFont="1" applyAlignment="1">
      <alignment horizontal="left"/>
    </xf>
    <xf numFmtId="173" fontId="3" fillId="0" borderId="1" xfId="0" applyNumberFormat="1" applyFont="1" applyBorder="1" applyAlignment="1">
      <alignment horizontal="center"/>
    </xf>
    <xf numFmtId="8" fontId="3" fillId="0" borderId="1" xfId="0" applyNumberFormat="1" applyFont="1" applyBorder="1" applyAlignment="1">
      <alignment horizontal="center"/>
    </xf>
    <xf numFmtId="10" fontId="3" fillId="0" borderId="1" xfId="0" applyNumberFormat="1" applyFont="1" applyBorder="1" applyAlignment="1">
      <alignment horizontal="center"/>
    </xf>
    <xf numFmtId="177" fontId="3" fillId="0" borderId="0" xfId="0" applyNumberFormat="1" applyFont="1" applyAlignment="1">
      <alignment horizontal="center"/>
    </xf>
    <xf numFmtId="6" fontId="15" fillId="0" borderId="3" xfId="0" applyNumberFormat="1" applyFont="1" applyBorder="1"/>
    <xf numFmtId="6" fontId="15" fillId="0" borderId="0" xfId="0" applyNumberFormat="1" applyFont="1"/>
    <xf numFmtId="0" fontId="2" fillId="0" borderId="0" xfId="0" applyFont="1" applyAlignment="1">
      <alignment vertical="center"/>
    </xf>
    <xf numFmtId="0" fontId="3" fillId="0" borderId="0" xfId="0" applyFont="1" applyAlignment="1">
      <alignment vertical="center"/>
    </xf>
    <xf numFmtId="44" fontId="3" fillId="3" borderId="0" xfId="1" applyFont="1" applyFill="1" applyAlignment="1">
      <alignment vertical="center"/>
    </xf>
    <xf numFmtId="8" fontId="2" fillId="0" borderId="0" xfId="0" applyNumberFormat="1" applyFont="1" applyAlignment="1">
      <alignment vertical="center"/>
    </xf>
    <xf numFmtId="164" fontId="2" fillId="0" borderId="0" xfId="0" applyNumberFormat="1" applyFont="1" applyAlignment="1">
      <alignment vertical="center"/>
    </xf>
    <xf numFmtId="44" fontId="2" fillId="0" borderId="0" xfId="1" applyFont="1" applyFill="1" applyAlignment="1">
      <alignment vertical="center"/>
    </xf>
    <xf numFmtId="4" fontId="2" fillId="0" borderId="0" xfId="0" applyNumberFormat="1" applyFont="1" applyAlignment="1">
      <alignment vertical="center"/>
    </xf>
    <xf numFmtId="44" fontId="2" fillId="0" borderId="0" xfId="1" applyFont="1" applyAlignment="1">
      <alignment vertical="center"/>
    </xf>
    <xf numFmtId="173" fontId="2" fillId="0" borderId="0" xfId="0" applyNumberFormat="1" applyFont="1" applyAlignment="1">
      <alignment vertical="center"/>
    </xf>
    <xf numFmtId="44" fontId="13" fillId="3" borderId="0" xfId="1" applyFont="1" applyFill="1" applyAlignment="1">
      <alignment vertical="center"/>
    </xf>
    <xf numFmtId="8" fontId="2" fillId="0" borderId="0" xfId="1" applyNumberFormat="1" applyFont="1" applyAlignment="1">
      <alignment vertical="center"/>
    </xf>
    <xf numFmtId="44" fontId="2" fillId="3" borderId="0" xfId="1" applyFont="1" applyFill="1" applyAlignment="1">
      <alignment vertical="center"/>
    </xf>
    <xf numFmtId="168" fontId="2" fillId="0" borderId="0" xfId="1" applyNumberFormat="1" applyFont="1" applyAlignment="1">
      <alignment vertical="center"/>
    </xf>
    <xf numFmtId="0" fontId="3" fillId="0" borderId="7" xfId="0" applyFont="1" applyBorder="1" applyAlignment="1">
      <alignment vertical="center"/>
    </xf>
    <xf numFmtId="166" fontId="2" fillId="0" borderId="0" xfId="1" applyNumberFormat="1" applyFont="1" applyAlignment="1">
      <alignment vertical="center"/>
    </xf>
    <xf numFmtId="166" fontId="2" fillId="0" borderId="0" xfId="0" applyNumberFormat="1" applyFont="1" applyAlignment="1">
      <alignment vertical="center"/>
    </xf>
    <xf numFmtId="8" fontId="3" fillId="0" borderId="0" xfId="0" applyNumberFormat="1" applyFont="1" applyAlignment="1">
      <alignment vertical="center"/>
    </xf>
    <xf numFmtId="0" fontId="2" fillId="0" borderId="7" xfId="0" applyFont="1" applyBorder="1" applyAlignment="1">
      <alignment vertical="center"/>
    </xf>
    <xf numFmtId="4" fontId="2" fillId="0" borderId="7" xfId="0" applyNumberFormat="1" applyFont="1" applyBorder="1" applyAlignment="1">
      <alignment vertical="center"/>
    </xf>
    <xf numFmtId="8" fontId="3" fillId="3" borderId="0" xfId="0" applyNumberFormat="1" applyFont="1" applyFill="1" applyAlignment="1">
      <alignment vertical="center"/>
    </xf>
    <xf numFmtId="164" fontId="3" fillId="3" borderId="0" xfId="0" applyNumberFormat="1" applyFont="1" applyFill="1" applyAlignment="1">
      <alignment vertical="center"/>
    </xf>
    <xf numFmtId="2" fontId="3" fillId="3" borderId="0" xfId="0" applyNumberFormat="1" applyFont="1" applyFill="1" applyAlignment="1">
      <alignment vertical="center"/>
    </xf>
    <xf numFmtId="0" fontId="15" fillId="0" borderId="0" xfId="0" applyFont="1" applyAlignment="1">
      <alignment vertical="center"/>
    </xf>
    <xf numFmtId="0" fontId="18" fillId="0" borderId="0" xfId="2" applyFont="1" applyFill="1" applyAlignment="1">
      <alignment vertical="center"/>
    </xf>
    <xf numFmtId="0" fontId="15" fillId="0" borderId="0" xfId="0" applyFont="1" applyAlignment="1">
      <alignment horizontal="left" vertical="center"/>
    </xf>
    <xf numFmtId="0" fontId="15" fillId="0" borderId="0" xfId="0" applyFont="1" applyAlignment="1">
      <alignment vertical="center" wrapText="1"/>
    </xf>
    <xf numFmtId="0" fontId="2" fillId="6" borderId="3" xfId="0" applyFont="1" applyFill="1" applyBorder="1" applyAlignment="1">
      <alignment horizontal="center"/>
    </xf>
    <xf numFmtId="167" fontId="2" fillId="6" borderId="4" xfId="0" applyNumberFormat="1" applyFont="1" applyFill="1" applyBorder="1" applyAlignment="1">
      <alignment horizontal="center"/>
    </xf>
    <xf numFmtId="168" fontId="2" fillId="6" borderId="4" xfId="0" applyNumberFormat="1" applyFont="1" applyFill="1" applyBorder="1" applyAlignment="1">
      <alignment horizontal="center"/>
    </xf>
    <xf numFmtId="167" fontId="2" fillId="6" borderId="3" xfId="0" applyNumberFormat="1" applyFont="1" applyFill="1" applyBorder="1" applyAlignment="1">
      <alignment horizontal="center"/>
    </xf>
    <xf numFmtId="169" fontId="2" fillId="6" borderId="3" xfId="0" applyNumberFormat="1" applyFont="1" applyFill="1" applyBorder="1" applyAlignment="1">
      <alignment horizontal="center"/>
    </xf>
    <xf numFmtId="170" fontId="2" fillId="6" borderId="4" xfId="0" applyNumberFormat="1" applyFont="1" applyFill="1" applyBorder="1" applyAlignment="1">
      <alignment horizontal="center"/>
    </xf>
    <xf numFmtId="175" fontId="2" fillId="6" borderId="6" xfId="0" applyNumberFormat="1" applyFont="1" applyFill="1" applyBorder="1" applyAlignment="1">
      <alignment horizontal="center"/>
    </xf>
    <xf numFmtId="175" fontId="2" fillId="6" borderId="3" xfId="0" applyNumberFormat="1" applyFont="1" applyFill="1" applyBorder="1" applyAlignment="1">
      <alignment horizontal="center"/>
    </xf>
    <xf numFmtId="171" fontId="2" fillId="6" borderId="3" xfId="0" applyNumberFormat="1" applyFont="1" applyFill="1" applyBorder="1" applyAlignment="1">
      <alignment horizontal="center"/>
    </xf>
    <xf numFmtId="172" fontId="2" fillId="6" borderId="3" xfId="0" applyNumberFormat="1" applyFont="1" applyFill="1" applyBorder="1" applyAlignment="1">
      <alignment horizontal="center"/>
    </xf>
    <xf numFmtId="166" fontId="2" fillId="6" borderId="6" xfId="0" applyNumberFormat="1" applyFont="1" applyFill="1" applyBorder="1" applyAlignment="1">
      <alignment horizontal="center"/>
    </xf>
    <xf numFmtId="166" fontId="2" fillId="6" borderId="3" xfId="0" applyNumberFormat="1" applyFont="1" applyFill="1" applyBorder="1" applyAlignment="1">
      <alignment horizontal="center"/>
    </xf>
    <xf numFmtId="0" fontId="2" fillId="6" borderId="6" xfId="0" applyFont="1" applyFill="1" applyBorder="1" applyAlignment="1">
      <alignment horizontal="center"/>
    </xf>
    <xf numFmtId="176" fontId="2" fillId="6" borderId="3" xfId="0" applyNumberFormat="1" applyFont="1" applyFill="1" applyBorder="1" applyAlignment="1">
      <alignment horizontal="center"/>
    </xf>
    <xf numFmtId="0" fontId="15" fillId="0" borderId="0" xfId="0" applyFont="1" applyAlignment="1">
      <alignment horizontal="left" vertical="center" wrapText="1"/>
    </xf>
    <xf numFmtId="0" fontId="16" fillId="5" borderId="0" xfId="0" applyFont="1" applyFill="1" applyAlignment="1">
      <alignment horizontal="center"/>
    </xf>
    <xf numFmtId="0" fontId="16" fillId="5" borderId="1" xfId="0" applyFont="1" applyFill="1" applyBorder="1" applyAlignment="1">
      <alignment horizontal="center"/>
    </xf>
    <xf numFmtId="0" fontId="2" fillId="6" borderId="3" xfId="0" applyFont="1" applyFill="1" applyBorder="1" applyAlignment="1">
      <alignment horizontal="center"/>
    </xf>
    <xf numFmtId="14" fontId="2" fillId="6" borderId="3" xfId="0" applyNumberFormat="1" applyFont="1" applyFill="1" applyBorder="1" applyAlignment="1">
      <alignment horizontal="center"/>
    </xf>
    <xf numFmtId="166" fontId="2" fillId="6" borderId="8" xfId="0" applyNumberFormat="1" applyFont="1" applyFill="1" applyBorder="1" applyAlignment="1">
      <alignment horizontal="center"/>
    </xf>
    <xf numFmtId="166" fontId="2" fillId="6" borderId="0" xfId="0" applyNumberFormat="1" applyFont="1" applyFill="1" applyAlignment="1">
      <alignment horizontal="center"/>
    </xf>
    <xf numFmtId="6" fontId="14" fillId="0" borderId="9" xfId="0" applyNumberFormat="1" applyFont="1" applyBorder="1" applyAlignment="1">
      <alignment horizontal="center" textRotation="90"/>
    </xf>
    <xf numFmtId="6" fontId="14" fillId="0" borderId="10" xfId="0" applyNumberFormat="1" applyFont="1" applyBorder="1" applyAlignment="1">
      <alignment horizontal="center" textRotation="90"/>
    </xf>
    <xf numFmtId="6" fontId="14" fillId="0" borderId="11" xfId="0" applyNumberFormat="1" applyFont="1" applyBorder="1" applyAlignment="1">
      <alignment horizontal="center" textRotation="90"/>
    </xf>
    <xf numFmtId="0" fontId="14" fillId="0" borderId="3" xfId="0" applyFont="1" applyBorder="1" applyAlignment="1">
      <alignment horizontal="center" textRotation="90"/>
    </xf>
    <xf numFmtId="0" fontId="14" fillId="0" borderId="5" xfId="0" applyFont="1" applyBorder="1" applyAlignment="1">
      <alignment horizontal="center" textRotation="90"/>
    </xf>
    <xf numFmtId="0" fontId="14" fillId="0" borderId="9" xfId="0" applyFont="1" applyBorder="1" applyAlignment="1">
      <alignment horizontal="center" textRotation="90"/>
    </xf>
    <xf numFmtId="0" fontId="14" fillId="0" borderId="10" xfId="0" applyFont="1" applyBorder="1" applyAlignment="1">
      <alignment horizontal="center" textRotation="90"/>
    </xf>
    <xf numFmtId="0" fontId="14" fillId="0" borderId="11" xfId="0" applyFont="1" applyBorder="1" applyAlignment="1">
      <alignment horizontal="center" textRotation="90"/>
    </xf>
    <xf numFmtId="1" fontId="14" fillId="0" borderId="3" xfId="0" applyNumberFormat="1" applyFont="1" applyBorder="1" applyAlignment="1">
      <alignment horizontal="center" textRotation="90"/>
    </xf>
    <xf numFmtId="1" fontId="14" fillId="0" borderId="5" xfId="0" applyNumberFormat="1" applyFont="1" applyBorder="1" applyAlignment="1">
      <alignment horizontal="center" textRotation="90"/>
    </xf>
    <xf numFmtId="8" fontId="3" fillId="0" borderId="0" xfId="0" applyNumberFormat="1" applyFont="1" applyAlignment="1">
      <alignment horizontal="center"/>
    </xf>
    <xf numFmtId="14" fontId="2" fillId="0" borderId="1" xfId="0" applyNumberFormat="1" applyFont="1" applyBorder="1" applyAlignment="1">
      <alignment horizontal="center"/>
    </xf>
    <xf numFmtId="8" fontId="3" fillId="0" borderId="1" xfId="0" applyNumberFormat="1" applyFont="1" applyBorder="1" applyAlignment="1">
      <alignment horizontal="center"/>
    </xf>
    <xf numFmtId="0" fontId="2" fillId="0" borderId="0" xfId="0" applyFont="1" applyAlignment="1">
      <alignment horizontal="center"/>
    </xf>
    <xf numFmtId="0" fontId="3" fillId="2" borderId="0" xfId="0" applyFont="1" applyFill="1" applyAlignment="1">
      <alignment horizontal="center" vertical="center"/>
    </xf>
  </cellXfs>
  <cellStyles count="3">
    <cellStyle name="Link" xfId="2" builtinId="8"/>
    <cellStyle name="Standard" xfId="0" builtinId="0"/>
    <cellStyle name="Währung" xfId="1" builtinId="4"/>
  </cellStyles>
  <dxfs count="21">
    <dxf>
      <font>
        <color rgb="FF9C0006"/>
      </font>
    </dxf>
    <dxf>
      <font>
        <color rgb="FF00B050"/>
      </font>
    </dxf>
    <dxf>
      <font>
        <color rgb="FF00B050"/>
      </font>
    </dxf>
    <dxf>
      <font>
        <color rgb="FF9C0006"/>
      </font>
    </dxf>
    <dxf>
      <font>
        <color rgb="FF006100"/>
      </font>
      <fill>
        <patternFill>
          <bgColor rgb="FFC6EFCE"/>
        </patternFill>
      </fill>
    </dxf>
    <dxf>
      <fill>
        <patternFill>
          <bgColor rgb="FFFFC7CE"/>
        </patternFill>
      </fill>
    </dxf>
    <dxf>
      <font>
        <color rgb="FF9C0006"/>
      </font>
    </dxf>
    <dxf>
      <font>
        <color rgb="FF00B050"/>
      </font>
    </dxf>
    <dxf>
      <font>
        <color auto="1"/>
      </font>
      <fill>
        <patternFill>
          <bgColor rgb="FFFFFF00"/>
        </patternFill>
      </fill>
      <border>
        <left style="thin">
          <color auto="1"/>
        </left>
        <right style="thin">
          <color auto="1"/>
        </right>
        <top style="thin">
          <color auto="1"/>
        </top>
        <bottom style="thin">
          <color auto="1"/>
        </bottom>
        <vertical/>
        <horizontal/>
      </border>
    </dxf>
    <dxf>
      <font>
        <color auto="1"/>
      </font>
      <fill>
        <patternFill>
          <bgColor rgb="FFFFFF00"/>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F00"/>
        </patternFill>
      </fill>
    </dxf>
    <dxf>
      <font>
        <color auto="1"/>
      </font>
      <fill>
        <patternFill>
          <bgColor rgb="FFFFFF00"/>
        </patternFill>
      </fill>
    </dxf>
    <dxf>
      <font>
        <color auto="1"/>
      </font>
      <fill>
        <patternFill>
          <bgColor rgb="FFFFFF00"/>
        </patternFill>
      </fill>
      <border>
        <left style="thin">
          <color auto="1"/>
        </left>
        <right style="thin">
          <color auto="1"/>
        </right>
        <top style="thin">
          <color auto="1"/>
        </top>
        <bottom style="thin">
          <color auto="1"/>
        </bottom>
        <vertical/>
        <horizontal/>
      </border>
    </dxf>
    <dxf>
      <font>
        <color auto="1"/>
      </font>
      <fill>
        <patternFill>
          <bgColor rgb="FFFFFF00"/>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auto="1"/>
      </font>
      <fill>
        <patternFill>
          <bgColor rgb="FFFFFF0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003B5C"/>
      <color rgb="FFA1D884"/>
      <color rgb="FF8FD6BD"/>
      <color rgb="FFBE531C"/>
      <color rgb="FFBEFFFF"/>
      <color rgb="FF43B02A"/>
      <color rgb="FF43B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80818</xdr:colOff>
      <xdr:row>51</xdr:row>
      <xdr:rowOff>141111</xdr:rowOff>
    </xdr:from>
    <xdr:to>
      <xdr:col>1</xdr:col>
      <xdr:colOff>394322</xdr:colOff>
      <xdr:row>54</xdr:row>
      <xdr:rowOff>170129</xdr:rowOff>
    </xdr:to>
    <xdr:pic>
      <xdr:nvPicPr>
        <xdr:cNvPr id="2" name="Picture 1">
          <a:extLst>
            <a:ext uri="{FF2B5EF4-FFF2-40B4-BE49-F238E27FC236}">
              <a16:creationId xmlns:a16="http://schemas.microsoft.com/office/drawing/2014/main" id="{B046326C-2F70-804C-93F7-C429111102A6}"/>
            </a:ext>
          </a:extLst>
        </xdr:cNvPr>
        <xdr:cNvPicPr>
          <a:picLocks noChangeAspect="1"/>
        </xdr:cNvPicPr>
      </xdr:nvPicPr>
      <xdr:blipFill>
        <a:blip xmlns:r="http://schemas.openxmlformats.org/officeDocument/2006/relationships" r:embed="rId1"/>
        <a:stretch>
          <a:fillRect/>
        </a:stretch>
      </xdr:blipFill>
      <xdr:spPr>
        <a:xfrm>
          <a:off x="80818" y="9608384"/>
          <a:ext cx="3209508" cy="590935"/>
        </a:xfrm>
        <a:prstGeom prst="rect">
          <a:avLst/>
        </a:prstGeom>
      </xdr:spPr>
    </xdr:pic>
    <xdr:clientData/>
  </xdr:twoCellAnchor>
</xdr:wsDr>
</file>

<file path=xl/theme/theme1.xml><?xml version="1.0" encoding="utf-8"?>
<a:theme xmlns:a="http://schemas.openxmlformats.org/drawingml/2006/main" name="Office 2013 – 2022-Design">
  <a:themeElements>
    <a:clrScheme name="UCB">
      <a:dk1>
        <a:srgbClr val="000000"/>
      </a:dk1>
      <a:lt1>
        <a:srgbClr val="FFFFFF"/>
      </a:lt1>
      <a:dk2>
        <a:srgbClr val="44546A"/>
      </a:dk2>
      <a:lt2>
        <a:srgbClr val="E7E6E6"/>
      </a:lt2>
      <a:accent1>
        <a:srgbClr val="96CA93"/>
      </a:accent1>
      <a:accent2>
        <a:srgbClr val="00314A"/>
      </a:accent2>
      <a:accent3>
        <a:srgbClr val="B84E28"/>
      </a:accent3>
      <a:accent4>
        <a:srgbClr val="98D0C2"/>
      </a:accent4>
      <a:accent5>
        <a:srgbClr val="A31944"/>
      </a:accent5>
      <a:accent6>
        <a:srgbClr val="E2D562"/>
      </a:accent6>
      <a:hlink>
        <a:srgbClr val="00314A"/>
      </a:hlink>
      <a:folHlink>
        <a:srgbClr val="00314A"/>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nc-sa/4.0/" TargetMode="External"/><Relationship Id="rId7" Type="http://schemas.openxmlformats.org/officeDocument/2006/relationships/comments" Target="../comments1.xml"/><Relationship Id="rId2" Type="http://schemas.openxmlformats.org/officeDocument/2006/relationships/hyperlink" Target="https://www.umwelt-campus.de/energietools" TargetMode="External"/><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3449F-FAF5-4454-95F1-144226151679}">
  <dimension ref="A1:L63"/>
  <sheetViews>
    <sheetView tabSelected="1" zoomScale="110" zoomScaleNormal="110" workbookViewId="0">
      <selection activeCell="B3" sqref="B3:E3"/>
    </sheetView>
  </sheetViews>
  <sheetFormatPr baseColWidth="10" defaultColWidth="11.5" defaultRowHeight="14" x14ac:dyDescent="0.15"/>
  <cols>
    <col min="1" max="1" width="38" style="1" bestFit="1" customWidth="1"/>
    <col min="2" max="2" width="18.5" style="1" bestFit="1" customWidth="1"/>
    <col min="3" max="3" width="19.33203125" style="1" bestFit="1" customWidth="1"/>
    <col min="4" max="4" width="14.83203125" style="1" bestFit="1" customWidth="1"/>
    <col min="5" max="7" width="11.5" style="1"/>
    <col min="8" max="8" width="21.83203125" style="1" bestFit="1" customWidth="1"/>
    <col min="9" max="9" width="12.83203125" style="1" bestFit="1" customWidth="1"/>
    <col min="10" max="16384" width="11.5" style="1"/>
  </cols>
  <sheetData>
    <row r="1" spans="1:12" ht="19" thickBot="1" x14ac:dyDescent="0.25">
      <c r="A1" s="109" t="s">
        <v>66</v>
      </c>
      <c r="B1" s="109"/>
      <c r="C1" s="109"/>
      <c r="D1" s="109"/>
      <c r="E1" s="109"/>
      <c r="F1" s="26"/>
      <c r="G1" s="26"/>
      <c r="H1" s="26"/>
      <c r="I1" s="26"/>
      <c r="J1" s="26"/>
      <c r="K1" s="26"/>
      <c r="L1" s="26"/>
    </row>
    <row r="2" spans="1:12" ht="18" x14ac:dyDescent="0.2">
      <c r="A2" s="31"/>
      <c r="B2" s="31"/>
      <c r="C2" s="31"/>
      <c r="D2" s="31"/>
      <c r="E2" s="31"/>
      <c r="F2" s="26"/>
      <c r="G2" s="26"/>
      <c r="H2" s="26"/>
      <c r="I2" s="26"/>
      <c r="J2" s="26"/>
      <c r="K2" s="26"/>
      <c r="L2" s="26"/>
    </row>
    <row r="3" spans="1:12" x14ac:dyDescent="0.15">
      <c r="A3" s="2" t="s">
        <v>23</v>
      </c>
      <c r="B3" s="110" t="s">
        <v>76</v>
      </c>
      <c r="C3" s="110"/>
      <c r="D3" s="110"/>
      <c r="E3" s="110"/>
    </row>
    <row r="4" spans="1:12" x14ac:dyDescent="0.15">
      <c r="A4" s="2" t="s">
        <v>24</v>
      </c>
      <c r="B4" s="110" t="s">
        <v>75</v>
      </c>
      <c r="C4" s="110"/>
      <c r="D4" s="110"/>
      <c r="E4" s="110"/>
    </row>
    <row r="5" spans="1:12" x14ac:dyDescent="0.15">
      <c r="A5" s="2" t="s">
        <v>25</v>
      </c>
      <c r="B5" s="111">
        <v>45658</v>
      </c>
      <c r="C5" s="111"/>
      <c r="D5" s="111"/>
      <c r="E5" s="111"/>
      <c r="H5" s="21"/>
      <c r="J5" s="22"/>
    </row>
    <row r="6" spans="1:12" x14ac:dyDescent="0.15">
      <c r="A6" s="2"/>
      <c r="B6" s="55"/>
      <c r="C6" s="55"/>
      <c r="D6" s="55"/>
      <c r="E6" s="55"/>
      <c r="H6" s="21"/>
      <c r="J6" s="22"/>
    </row>
    <row r="7" spans="1:12" ht="19" thickBot="1" x14ac:dyDescent="0.25">
      <c r="A7" s="109" t="s">
        <v>67</v>
      </c>
      <c r="B7" s="109"/>
      <c r="C7" s="109"/>
      <c r="D7" s="109"/>
      <c r="E7" s="109"/>
      <c r="H7" s="21"/>
      <c r="J7" s="22"/>
    </row>
    <row r="8" spans="1:12" x14ac:dyDescent="0.15">
      <c r="B8" s="3"/>
      <c r="H8" s="23"/>
      <c r="J8" s="24"/>
    </row>
    <row r="9" spans="1:12" x14ac:dyDescent="0.15">
      <c r="A9" s="2" t="s">
        <v>0</v>
      </c>
      <c r="B9" s="112">
        <v>90000</v>
      </c>
      <c r="C9" s="113"/>
      <c r="D9" s="113"/>
      <c r="E9" s="1" t="s">
        <v>58</v>
      </c>
      <c r="H9" s="25"/>
    </row>
    <row r="10" spans="1:12" x14ac:dyDescent="0.15">
      <c r="A10" s="2"/>
      <c r="B10" s="4"/>
      <c r="C10" s="5"/>
      <c r="H10" s="25"/>
    </row>
    <row r="11" spans="1:12" ht="15" thickBot="1" x14ac:dyDescent="0.2">
      <c r="A11" s="7" t="s">
        <v>1</v>
      </c>
      <c r="B11" s="28"/>
      <c r="C11" s="28"/>
      <c r="H11" s="25"/>
    </row>
    <row r="12" spans="1:12" x14ac:dyDescent="0.15">
      <c r="A12" s="2"/>
      <c r="B12" s="38" t="s">
        <v>13</v>
      </c>
      <c r="C12" s="38" t="s">
        <v>14</v>
      </c>
      <c r="H12" s="25"/>
    </row>
    <row r="13" spans="1:12" x14ac:dyDescent="0.15">
      <c r="A13" s="1" t="s">
        <v>10</v>
      </c>
      <c r="B13" s="94">
        <v>2000</v>
      </c>
      <c r="C13" s="95">
        <v>0.06</v>
      </c>
      <c r="D13" s="1" t="str">
        <f>IF(C13&gt;0.8,"Korrekt?","")</f>
        <v/>
      </c>
      <c r="H13" s="25"/>
    </row>
    <row r="14" spans="1:12" x14ac:dyDescent="0.15">
      <c r="A14" s="1" t="s">
        <v>9</v>
      </c>
      <c r="B14" s="96">
        <v>1000</v>
      </c>
      <c r="C14" s="95">
        <v>0.1</v>
      </c>
      <c r="D14" s="1" t="str">
        <f>IF(C14&gt;0.8,"Korrekt?","")</f>
        <v/>
      </c>
      <c r="H14" s="25"/>
    </row>
    <row r="15" spans="1:12" x14ac:dyDescent="0.15">
      <c r="A15" s="1" t="s">
        <v>11</v>
      </c>
      <c r="B15" s="96">
        <v>10000</v>
      </c>
      <c r="C15" s="95">
        <v>0.18</v>
      </c>
      <c r="D15" s="1" t="str">
        <f>IF(C15&gt;0.6,"Korrekt?","")</f>
        <v/>
      </c>
      <c r="H15" s="25"/>
    </row>
    <row r="16" spans="1:12" x14ac:dyDescent="0.15">
      <c r="A16" s="1" t="s">
        <v>49</v>
      </c>
      <c r="B16" s="96">
        <v>15000</v>
      </c>
      <c r="C16" s="95">
        <v>0.04</v>
      </c>
      <c r="D16" s="1" t="str">
        <f>IF(C16&gt;0.6,"Korrekt?","")</f>
        <v/>
      </c>
    </row>
    <row r="17" spans="1:5" x14ac:dyDescent="0.15">
      <c r="B17" s="39" t="s">
        <v>47</v>
      </c>
      <c r="C17" s="40" t="s">
        <v>48</v>
      </c>
    </row>
    <row r="18" spans="1:5" x14ac:dyDescent="0.15">
      <c r="A18" s="1" t="s">
        <v>12</v>
      </c>
      <c r="B18" s="97">
        <v>1000</v>
      </c>
      <c r="C18" s="98">
        <v>0.22</v>
      </c>
      <c r="D18" s="1" t="str">
        <f>IF(C18&gt;0.6,"Korrekt?","")</f>
        <v/>
      </c>
    </row>
    <row r="19" spans="1:5" x14ac:dyDescent="0.15">
      <c r="B19" s="6"/>
      <c r="C19" s="5"/>
    </row>
    <row r="20" spans="1:5" ht="15" thickBot="1" x14ac:dyDescent="0.2">
      <c r="A20" s="7" t="s">
        <v>27</v>
      </c>
      <c r="B20" s="2"/>
      <c r="C20" s="8"/>
    </row>
    <row r="21" spans="1:5" x14ac:dyDescent="0.15">
      <c r="A21" s="1" t="s">
        <v>69</v>
      </c>
      <c r="B21" s="99">
        <v>1.4999999999999999E-2</v>
      </c>
      <c r="C21" s="8"/>
    </row>
    <row r="22" spans="1:5" x14ac:dyDescent="0.15">
      <c r="A22" s="1" t="s">
        <v>7</v>
      </c>
      <c r="B22" s="100">
        <v>0.02</v>
      </c>
      <c r="C22" s="8"/>
    </row>
    <row r="23" spans="1:5" x14ac:dyDescent="0.15">
      <c r="A23" s="1" t="s">
        <v>50</v>
      </c>
      <c r="B23" s="101">
        <v>1</v>
      </c>
    </row>
    <row r="24" spans="1:5" x14ac:dyDescent="0.15">
      <c r="A24" s="1" t="s">
        <v>51</v>
      </c>
      <c r="B24" s="102">
        <v>30</v>
      </c>
    </row>
    <row r="25" spans="1:5" x14ac:dyDescent="0.15">
      <c r="A25" s="1" t="s">
        <v>40</v>
      </c>
      <c r="B25" s="100">
        <v>0.02</v>
      </c>
    </row>
    <row r="27" spans="1:5" ht="15" thickBot="1" x14ac:dyDescent="0.2">
      <c r="A27" s="7" t="s">
        <v>15</v>
      </c>
      <c r="B27" s="28"/>
      <c r="C27" s="28"/>
      <c r="D27" s="28"/>
    </row>
    <row r="28" spans="1:5" x14ac:dyDescent="0.15">
      <c r="A28" s="2" t="s">
        <v>34</v>
      </c>
      <c r="B28" s="103">
        <v>20000</v>
      </c>
      <c r="C28" s="32" t="s">
        <v>29</v>
      </c>
      <c r="D28" s="105">
        <v>5</v>
      </c>
      <c r="E28" s="3" t="str">
        <f>IF(JahrErsatzbeschaffung1&gt;JahrErsatzbeschaffung2,"Korrekt?","")</f>
        <v/>
      </c>
    </row>
    <row r="29" spans="1:5" x14ac:dyDescent="0.15">
      <c r="A29" s="2" t="s">
        <v>35</v>
      </c>
      <c r="B29" s="104">
        <v>10000</v>
      </c>
      <c r="C29" s="29" t="s">
        <v>29</v>
      </c>
      <c r="D29" s="93">
        <v>10</v>
      </c>
      <c r="E29" s="3" t="str">
        <f>IF(JahrErsatzbeschaffung2&lt;JahrErsatzbeschaffung1,"Korrekt?","")</f>
        <v/>
      </c>
    </row>
    <row r="31" spans="1:5" x14ac:dyDescent="0.15">
      <c r="A31" s="2" t="s">
        <v>3</v>
      </c>
      <c r="B31" s="112">
        <v>1500</v>
      </c>
      <c r="C31" s="113"/>
      <c r="D31" s="113"/>
      <c r="E31" s="1" t="s">
        <v>57</v>
      </c>
    </row>
    <row r="32" spans="1:5" x14ac:dyDescent="0.15">
      <c r="A32" s="2"/>
      <c r="B32" s="4"/>
      <c r="C32" s="4"/>
      <c r="D32" s="4"/>
    </row>
    <row r="33" spans="1:5" ht="18" x14ac:dyDescent="0.2">
      <c r="A33" s="108" t="s">
        <v>4</v>
      </c>
      <c r="B33" s="108"/>
      <c r="C33" s="108"/>
      <c r="D33" s="108"/>
      <c r="E33" s="108"/>
    </row>
    <row r="34" spans="1:5" x14ac:dyDescent="0.15">
      <c r="B34" s="8"/>
      <c r="C34" s="5"/>
      <c r="D34" s="3"/>
    </row>
    <row r="35" spans="1:5" ht="15" thickBot="1" x14ac:dyDescent="0.2">
      <c r="A35" s="7" t="s">
        <v>4</v>
      </c>
      <c r="B35" s="4"/>
      <c r="C35" s="9"/>
      <c r="D35" s="10"/>
    </row>
    <row r="36" spans="1:5" x14ac:dyDescent="0.15">
      <c r="A36" s="2" t="s">
        <v>37</v>
      </c>
      <c r="B36" s="103">
        <v>15000</v>
      </c>
      <c r="C36" s="5"/>
      <c r="D36" s="3"/>
    </row>
    <row r="37" spans="1:5" x14ac:dyDescent="0.15">
      <c r="A37" s="2" t="s">
        <v>36</v>
      </c>
      <c r="B37" s="104">
        <v>10000</v>
      </c>
      <c r="C37" s="30" t="s">
        <v>42</v>
      </c>
      <c r="D37" s="93">
        <v>10</v>
      </c>
      <c r="E37" s="3" t="str">
        <f>IF(LaufzeitFörderung&gt;Nutzungsjahre,"Korrekt?","")</f>
        <v/>
      </c>
    </row>
    <row r="39" spans="1:5" x14ac:dyDescent="0.15">
      <c r="A39" s="2" t="s">
        <v>6</v>
      </c>
      <c r="B39" s="104">
        <v>0</v>
      </c>
      <c r="C39" s="3" t="str">
        <f>IF(Restwert&gt;KapitalgebundeneKosten,"Korrekt?","")</f>
        <v/>
      </c>
    </row>
    <row r="41" spans="1:5" ht="18" x14ac:dyDescent="0.2">
      <c r="A41" s="108" t="s">
        <v>68</v>
      </c>
      <c r="B41" s="108"/>
      <c r="C41" s="108"/>
      <c r="D41" s="108"/>
      <c r="E41" s="108"/>
    </row>
    <row r="42" spans="1:5" ht="18" x14ac:dyDescent="0.2">
      <c r="A42" s="33"/>
      <c r="B42" s="33"/>
      <c r="C42" s="33"/>
      <c r="D42" s="27"/>
    </row>
    <row r="43" spans="1:5" x14ac:dyDescent="0.15">
      <c r="A43" s="2" t="s">
        <v>8</v>
      </c>
      <c r="B43" s="106">
        <v>30</v>
      </c>
      <c r="C43" s="1" t="str">
        <f>IF(Nutzungsjahre&gt;30,"Max. 30 Jahre","")</f>
        <v/>
      </c>
    </row>
    <row r="45" spans="1:5" x14ac:dyDescent="0.15">
      <c r="A45" s="2" t="s">
        <v>41</v>
      </c>
      <c r="B45" s="100">
        <v>0.03</v>
      </c>
    </row>
    <row r="46" spans="1:5" x14ac:dyDescent="0.15">
      <c r="B46" s="34"/>
    </row>
    <row r="47" spans="1:5" x14ac:dyDescent="0.15">
      <c r="A47" s="2" t="s">
        <v>46</v>
      </c>
      <c r="B47" s="100">
        <v>0.02</v>
      </c>
    </row>
    <row r="48" spans="1:5" x14ac:dyDescent="0.15">
      <c r="A48" s="2"/>
      <c r="B48" s="35"/>
    </row>
    <row r="49" spans="1:10" x14ac:dyDescent="0.15">
      <c r="A49" s="2" t="s">
        <v>45</v>
      </c>
      <c r="B49" s="100">
        <v>0.02</v>
      </c>
    </row>
    <row r="51" spans="1:10" x14ac:dyDescent="0.15">
      <c r="A51" s="2" t="s">
        <v>5</v>
      </c>
      <c r="B51" s="100">
        <v>0.02</v>
      </c>
    </row>
    <row r="53" spans="1:10" s="89" customFormat="1" ht="15" customHeight="1" x14ac:dyDescent="0.2">
      <c r="D53" s="92"/>
      <c r="E53" s="92"/>
      <c r="F53" s="92"/>
      <c r="G53" s="92"/>
    </row>
    <row r="54" spans="1:10" s="89" customFormat="1" ht="15" customHeight="1" x14ac:dyDescent="0.2">
      <c r="B54" s="92"/>
      <c r="C54" s="92"/>
      <c r="D54" s="92"/>
      <c r="E54" s="92"/>
      <c r="F54" s="92"/>
      <c r="G54" s="92"/>
    </row>
    <row r="55" spans="1:10" s="89" customFormat="1" ht="15" customHeight="1" x14ac:dyDescent="0.2">
      <c r="B55" s="92"/>
      <c r="C55" s="92"/>
      <c r="D55" s="92"/>
      <c r="E55" s="92"/>
      <c r="F55" s="92"/>
      <c r="G55" s="92"/>
    </row>
    <row r="56" spans="1:10" s="89" customFormat="1" ht="15" customHeight="1" x14ac:dyDescent="0.2">
      <c r="A56" s="90" t="s">
        <v>77</v>
      </c>
      <c r="B56" s="92"/>
      <c r="C56" s="92"/>
      <c r="D56" s="92"/>
      <c r="E56" s="92"/>
      <c r="F56" s="92"/>
      <c r="G56" s="92"/>
      <c r="H56" s="90"/>
      <c r="I56" s="90"/>
      <c r="J56" s="90"/>
    </row>
    <row r="57" spans="1:10" s="89" customFormat="1" ht="15" customHeight="1" x14ac:dyDescent="0.2">
      <c r="A57" s="91" t="s">
        <v>78</v>
      </c>
      <c r="B57" s="92"/>
      <c r="C57" s="92"/>
      <c r="D57" s="92"/>
      <c r="E57" s="92"/>
      <c r="F57" s="92"/>
      <c r="G57" s="92"/>
    </row>
    <row r="58" spans="1:10" s="52" customFormat="1" ht="13" x14ac:dyDescent="0.15">
      <c r="C58" s="92"/>
      <c r="D58" s="92"/>
      <c r="E58" s="92"/>
    </row>
    <row r="59" spans="1:10" ht="111" customHeight="1" x14ac:dyDescent="0.15">
      <c r="A59" s="107" t="s">
        <v>79</v>
      </c>
      <c r="B59" s="107"/>
      <c r="C59" s="107"/>
      <c r="D59" s="107"/>
      <c r="E59" s="107"/>
    </row>
    <row r="60" spans="1:10" x14ac:dyDescent="0.15">
      <c r="A60" s="92"/>
      <c r="B60" s="92"/>
      <c r="C60" s="92"/>
      <c r="D60" s="92"/>
      <c r="E60" s="92"/>
    </row>
    <row r="61" spans="1:10" x14ac:dyDescent="0.15">
      <c r="A61" s="92"/>
      <c r="B61" s="92"/>
      <c r="C61" s="92"/>
      <c r="D61" s="92"/>
      <c r="E61" s="92"/>
    </row>
    <row r="62" spans="1:10" x14ac:dyDescent="0.15">
      <c r="C62" s="92"/>
      <c r="D62" s="92"/>
      <c r="E62" s="92"/>
    </row>
    <row r="63" spans="1:10" x14ac:dyDescent="0.15">
      <c r="C63" s="92"/>
      <c r="D63" s="92"/>
      <c r="E63" s="92"/>
    </row>
  </sheetData>
  <customSheetViews>
    <customSheetView guid="{BC21BAC2-2C5D-4771-A36D-D3E3041AC412}" topLeftCell="A7">
      <selection activeCell="F18" sqref="F18"/>
      <pageMargins left="0.7" right="0.7" top="0.78740157499999996" bottom="0.78740157499999996" header="0.3" footer="0.3"/>
      <pageSetup paperSize="9" orientation="portrait" horizontalDpi="4294967293" verticalDpi="0" r:id="rId1"/>
    </customSheetView>
  </customSheetViews>
  <mergeCells count="10">
    <mergeCell ref="A59:E59"/>
    <mergeCell ref="A41:E41"/>
    <mergeCell ref="A1:E1"/>
    <mergeCell ref="B3:E3"/>
    <mergeCell ref="B4:E4"/>
    <mergeCell ref="B5:E5"/>
    <mergeCell ref="A7:E7"/>
    <mergeCell ref="B31:D31"/>
    <mergeCell ref="A33:E33"/>
    <mergeCell ref="B9:D9"/>
  </mergeCells>
  <conditionalFormatting sqref="C39">
    <cfRule type="cellIs" dxfId="20" priority="11" operator="equal">
      <formula>"Korrekt?"</formula>
    </cfRule>
    <cfRule type="cellIs" dxfId="19" priority="12" operator="equal">
      <formula>"Korrekt?"</formula>
    </cfRule>
    <cfRule type="cellIs" dxfId="18" priority="13" operator="equal">
      <formula>"Korrekt?"</formula>
    </cfRule>
    <cfRule type="cellIs" dxfId="17" priority="14" operator="equal">
      <formula>$C$39=Korrekt?</formula>
    </cfRule>
  </conditionalFormatting>
  <conditionalFormatting sqref="C43">
    <cfRule type="cellIs" dxfId="16" priority="1" operator="equal">
      <formula>"Max. 30 Jahre"</formula>
    </cfRule>
    <cfRule type="cellIs" dxfId="15" priority="2" operator="equal">
      <formula>"Max. 30 Jahre"</formula>
    </cfRule>
  </conditionalFormatting>
  <conditionalFormatting sqref="D13:D18">
    <cfRule type="cellIs" dxfId="14" priority="3" operator="equal">
      <formula>"Korrekt?"</formula>
    </cfRule>
  </conditionalFormatting>
  <conditionalFormatting sqref="E28">
    <cfRule type="cellIs" dxfId="13" priority="7" operator="equal">
      <formula>"Korrekt?"</formula>
    </cfRule>
    <cfRule type="cellIs" dxfId="12" priority="8" operator="equal">
      <formula>"Korrekt?"</formula>
    </cfRule>
    <cfRule type="cellIs" dxfId="11" priority="9" operator="equal">
      <formula>"Korrekt?"</formula>
    </cfRule>
    <cfRule type="cellIs" dxfId="10" priority="10" operator="equal">
      <formula>$C$39=Korrekt?</formula>
    </cfRule>
  </conditionalFormatting>
  <conditionalFormatting sqref="E28:E29">
    <cfRule type="cellIs" dxfId="9" priority="5" operator="equal">
      <formula>"Korrekt?"</formula>
    </cfRule>
  </conditionalFormatting>
  <conditionalFormatting sqref="E37">
    <cfRule type="cellIs" dxfId="8" priority="4" operator="equal">
      <formula>"Korrekt?"</formula>
    </cfRule>
  </conditionalFormatting>
  <hyperlinks>
    <hyperlink ref="A56" r:id="rId2" xr:uid="{EDEF5B4A-FEF7-4841-AE8D-BA44AD40F7EA}"/>
    <hyperlink ref="G56:J56" r:id="rId3" display="https://creativecommons.org/licenses/by-nc-sa/4.0/" xr:uid="{885FFB83-49BB-DB45-A09D-B758542D30D3}"/>
  </hyperlinks>
  <pageMargins left="0.7" right="0.7" top="0.78740157499999996" bottom="0.78740157499999996" header="0.3" footer="0.3"/>
  <pageSetup paperSize="9" orientation="portrait" horizontalDpi="4294967293" verticalDpi="4294967293" r:id="rId4"/>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343A5-1222-49AE-BADE-FBA133A688BC}">
  <sheetPr>
    <pageSetUpPr fitToPage="1"/>
  </sheetPr>
  <dimension ref="A1:AZ51"/>
  <sheetViews>
    <sheetView showGridLines="0" showRuler="0" zoomScaleNormal="100" workbookViewId="0"/>
  </sheetViews>
  <sheetFormatPr baseColWidth="10" defaultColWidth="6.1640625" defaultRowHeight="14" customHeight="1" x14ac:dyDescent="0.15"/>
  <cols>
    <col min="1" max="1" width="52.83203125" style="1" customWidth="1"/>
    <col min="2" max="2" width="18.5" style="1" bestFit="1" customWidth="1"/>
    <col min="3" max="3" width="9.1640625" style="1" bestFit="1" customWidth="1"/>
    <col min="4" max="4" width="39.83203125" style="1" customWidth="1"/>
    <col min="5" max="5" width="2.1640625" style="1" customWidth="1"/>
    <col min="6" max="6" width="3.5" style="51" customWidth="1"/>
    <col min="7" max="7" width="11.83203125" style="52" customWidth="1"/>
    <col min="8" max="8" width="9.5" style="52" bestFit="1" customWidth="1"/>
    <col min="9" max="9" width="9.83203125" style="52" bestFit="1" customWidth="1"/>
    <col min="10" max="10" width="10" style="52" bestFit="1" customWidth="1"/>
    <col min="11" max="11" width="10.83203125" style="52" bestFit="1" customWidth="1"/>
    <col min="12" max="12" width="10" style="52" bestFit="1" customWidth="1"/>
    <col min="13" max="13" width="9" style="52" bestFit="1" customWidth="1"/>
    <col min="14" max="14" width="10.1640625" style="52" bestFit="1" customWidth="1"/>
    <col min="15" max="15" width="10.83203125" style="52" bestFit="1" customWidth="1"/>
    <col min="16" max="16" width="12.83203125" style="52" customWidth="1"/>
    <col min="17" max="17" width="10.83203125" style="66" bestFit="1" customWidth="1"/>
    <col min="18" max="33" width="5.1640625" style="1" bestFit="1" customWidth="1"/>
    <col min="34" max="34" width="5.5" style="1" bestFit="1" customWidth="1"/>
    <col min="35" max="35" width="5.1640625" style="1" bestFit="1" customWidth="1"/>
    <col min="36" max="37" width="5.5" style="1" bestFit="1" customWidth="1"/>
    <col min="38" max="39" width="5.1640625" style="1" bestFit="1" customWidth="1"/>
    <col min="40" max="41" width="5.5" style="1" bestFit="1" customWidth="1"/>
    <col min="42" max="43" width="5.1640625" style="1" bestFit="1" customWidth="1"/>
    <col min="44" max="46" width="5.5" style="1" bestFit="1" customWidth="1"/>
    <col min="47" max="47" width="5.1640625" style="1" bestFit="1" customWidth="1"/>
    <col min="48" max="48" width="5.5" style="1" bestFit="1" customWidth="1"/>
    <col min="49" max="49" width="5.1640625" style="1" bestFit="1" customWidth="1"/>
    <col min="50" max="52" width="5.5" style="1" bestFit="1" customWidth="1"/>
    <col min="53" max="16384" width="6.1640625" style="1"/>
  </cols>
  <sheetData>
    <row r="1" spans="1:52" ht="14" customHeight="1" x14ac:dyDescent="0.15">
      <c r="F1" s="122" t="s">
        <v>38</v>
      </c>
      <c r="G1" s="117" t="s">
        <v>55</v>
      </c>
      <c r="H1" s="117" t="s">
        <v>1</v>
      </c>
      <c r="I1" s="117" t="s">
        <v>27</v>
      </c>
      <c r="J1" s="117" t="s">
        <v>15</v>
      </c>
      <c r="K1" s="117" t="s">
        <v>3</v>
      </c>
      <c r="L1" s="117" t="s">
        <v>56</v>
      </c>
      <c r="M1" s="117" t="s">
        <v>36</v>
      </c>
      <c r="N1" s="117" t="s">
        <v>6</v>
      </c>
      <c r="O1" s="117" t="s">
        <v>22</v>
      </c>
      <c r="P1" s="119" t="s">
        <v>60</v>
      </c>
      <c r="Q1" s="114" t="s">
        <v>70</v>
      </c>
    </row>
    <row r="2" spans="1:52" ht="14" customHeight="1" x14ac:dyDescent="0.15">
      <c r="A2" s="42" t="s">
        <v>26</v>
      </c>
      <c r="B2" s="127" t="str">
        <f>NameErsteller</f>
        <v>Max Mustermann</v>
      </c>
      <c r="C2" s="127"/>
      <c r="D2" s="127"/>
      <c r="E2" s="3"/>
      <c r="F2" s="122"/>
      <c r="G2" s="117"/>
      <c r="H2" s="117"/>
      <c r="I2" s="117"/>
      <c r="J2" s="117"/>
      <c r="K2" s="117"/>
      <c r="L2" s="117"/>
      <c r="M2" s="117"/>
      <c r="N2" s="117"/>
      <c r="O2" s="117"/>
      <c r="P2" s="120"/>
      <c r="Q2" s="115"/>
      <c r="R2" s="12"/>
      <c r="S2" s="12"/>
      <c r="T2" s="12"/>
      <c r="U2" s="12"/>
      <c r="V2" s="12"/>
      <c r="W2" s="12"/>
      <c r="X2" s="12"/>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row>
    <row r="3" spans="1:52" ht="14" customHeight="1" x14ac:dyDescent="0.15">
      <c r="A3" s="42" t="s">
        <v>24</v>
      </c>
      <c r="B3" s="127" t="str">
        <f>Anlagenbezeichnung</f>
        <v>Anlage XY</v>
      </c>
      <c r="C3" s="127"/>
      <c r="D3" s="127"/>
      <c r="E3" s="3"/>
      <c r="F3" s="122"/>
      <c r="G3" s="117"/>
      <c r="H3" s="117"/>
      <c r="I3" s="117"/>
      <c r="J3" s="117"/>
      <c r="K3" s="117"/>
      <c r="L3" s="117"/>
      <c r="M3" s="117"/>
      <c r="N3" s="117"/>
      <c r="O3" s="117"/>
      <c r="P3" s="120"/>
      <c r="Q3" s="115"/>
      <c r="R3" s="14"/>
      <c r="S3" s="14"/>
      <c r="T3" s="14"/>
      <c r="U3" s="14"/>
      <c r="V3" s="14"/>
      <c r="W3" s="14"/>
      <c r="X3" s="14"/>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row>
    <row r="4" spans="1:52" ht="14" customHeight="1" thickBot="1" x14ac:dyDescent="0.2">
      <c r="A4" s="43" t="s">
        <v>30</v>
      </c>
      <c r="B4" s="125">
        <f>Erstellungsdatum</f>
        <v>45658</v>
      </c>
      <c r="C4" s="125"/>
      <c r="D4" s="125"/>
      <c r="E4" s="55"/>
      <c r="F4" s="122"/>
      <c r="G4" s="117"/>
      <c r="H4" s="117"/>
      <c r="I4" s="117"/>
      <c r="J4" s="117"/>
      <c r="K4" s="117"/>
      <c r="L4" s="117"/>
      <c r="M4" s="117"/>
      <c r="N4" s="117"/>
      <c r="O4" s="117"/>
      <c r="P4" s="120"/>
      <c r="Q4" s="115"/>
      <c r="R4" s="14"/>
      <c r="S4" s="14"/>
      <c r="T4" s="14"/>
      <c r="U4" s="14"/>
      <c r="V4" s="14"/>
      <c r="W4" s="14"/>
      <c r="X4" s="14"/>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14" customHeight="1" x14ac:dyDescent="0.15">
      <c r="A5" s="20"/>
      <c r="B5" s="20"/>
      <c r="C5" s="20"/>
      <c r="D5" s="20"/>
      <c r="E5" s="3"/>
      <c r="F5" s="122"/>
      <c r="G5" s="117"/>
      <c r="H5" s="117"/>
      <c r="I5" s="117"/>
      <c r="J5" s="117"/>
      <c r="K5" s="117"/>
      <c r="L5" s="117"/>
      <c r="M5" s="117"/>
      <c r="N5" s="117"/>
      <c r="O5" s="117"/>
      <c r="P5" s="120"/>
      <c r="Q5" s="115"/>
      <c r="R5" s="14"/>
      <c r="S5" s="14"/>
      <c r="T5" s="14"/>
      <c r="U5" s="14"/>
      <c r="V5" s="14"/>
      <c r="W5" s="14"/>
      <c r="X5" s="14"/>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4" customHeight="1" x14ac:dyDescent="0.15">
      <c r="A6" s="42" t="s">
        <v>44</v>
      </c>
      <c r="B6" s="124">
        <f>KapitalgebundeneKosten</f>
        <v>90000</v>
      </c>
      <c r="C6" s="124"/>
      <c r="D6" s="124"/>
      <c r="E6" s="36"/>
      <c r="F6" s="122"/>
      <c r="G6" s="117"/>
      <c r="H6" s="117"/>
      <c r="I6" s="117"/>
      <c r="J6" s="117"/>
      <c r="K6" s="117"/>
      <c r="L6" s="117"/>
      <c r="M6" s="117"/>
      <c r="N6" s="117"/>
      <c r="O6" s="117"/>
      <c r="P6" s="120"/>
      <c r="Q6" s="115"/>
      <c r="R6" s="14"/>
      <c r="S6" s="14"/>
      <c r="T6" s="14"/>
      <c r="U6" s="14"/>
      <c r="V6" s="14"/>
      <c r="W6" s="14"/>
      <c r="X6" s="14"/>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4" customHeight="1" x14ac:dyDescent="0.15">
      <c r="A7" s="42" t="s">
        <v>1</v>
      </c>
      <c r="B7" s="124">
        <f>-BedarfsgebundeneKosten</f>
        <v>2840</v>
      </c>
      <c r="C7" s="124"/>
      <c r="D7" s="124"/>
      <c r="E7" s="36"/>
      <c r="F7" s="122"/>
      <c r="G7" s="117"/>
      <c r="H7" s="117"/>
      <c r="I7" s="117"/>
      <c r="J7" s="117"/>
      <c r="K7" s="117"/>
      <c r="L7" s="117"/>
      <c r="M7" s="117"/>
      <c r="N7" s="117"/>
      <c r="O7" s="117"/>
      <c r="P7" s="120"/>
      <c r="Q7" s="115"/>
      <c r="R7" s="14"/>
      <c r="S7" s="14"/>
      <c r="T7" s="14"/>
      <c r="U7" s="14"/>
      <c r="V7" s="14"/>
      <c r="W7" s="14"/>
      <c r="X7" s="14"/>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4" customHeight="1" thickBot="1" x14ac:dyDescent="0.2">
      <c r="A8" s="43" t="s">
        <v>27</v>
      </c>
      <c r="B8" s="126">
        <f>-BetriebsgebundeneKosten</f>
        <v>3180.0000000000005</v>
      </c>
      <c r="C8" s="126"/>
      <c r="D8" s="126"/>
      <c r="E8" s="36"/>
      <c r="F8" s="122"/>
      <c r="G8" s="117"/>
      <c r="H8" s="117"/>
      <c r="I8" s="117"/>
      <c r="J8" s="117"/>
      <c r="K8" s="117"/>
      <c r="L8" s="117"/>
      <c r="M8" s="117"/>
      <c r="N8" s="117"/>
      <c r="O8" s="117"/>
      <c r="P8" s="120"/>
      <c r="Q8" s="115"/>
      <c r="R8" s="14"/>
      <c r="S8" s="14"/>
      <c r="T8" s="14"/>
      <c r="U8" s="14"/>
      <c r="V8" s="14"/>
      <c r="W8" s="14"/>
      <c r="X8" s="14"/>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4" customHeight="1" x14ac:dyDescent="0.15">
      <c r="F9" s="122"/>
      <c r="G9" s="117"/>
      <c r="H9" s="117"/>
      <c r="I9" s="117"/>
      <c r="J9" s="117"/>
      <c r="K9" s="117"/>
      <c r="L9" s="117"/>
      <c r="M9" s="117"/>
      <c r="N9" s="117"/>
      <c r="O9" s="117"/>
      <c r="P9" s="120"/>
      <c r="Q9" s="115"/>
      <c r="R9" s="14"/>
      <c r="S9" s="14"/>
      <c r="T9" s="14"/>
      <c r="U9" s="14"/>
      <c r="V9" s="14"/>
      <c r="W9" s="14"/>
      <c r="X9" s="14"/>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ht="14" customHeight="1" x14ac:dyDescent="0.15">
      <c r="A10" s="42" t="s">
        <v>20</v>
      </c>
      <c r="F10" s="122"/>
      <c r="G10" s="117"/>
      <c r="H10" s="117"/>
      <c r="I10" s="117"/>
      <c r="J10" s="117"/>
      <c r="K10" s="117"/>
      <c r="L10" s="117"/>
      <c r="M10" s="117"/>
      <c r="N10" s="117"/>
      <c r="O10" s="117"/>
      <c r="P10" s="120"/>
      <c r="Q10" s="115"/>
      <c r="R10" s="14"/>
      <c r="S10" s="14"/>
      <c r="T10" s="14"/>
      <c r="U10" s="14"/>
      <c r="V10" s="14"/>
      <c r="W10" s="14"/>
      <c r="X10" s="14"/>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row>
    <row r="11" spans="1:52" ht="14" customHeight="1" x14ac:dyDescent="0.15">
      <c r="A11" s="1" t="s">
        <v>34</v>
      </c>
      <c r="B11" s="18">
        <f>Ersatzbeschaffung1</f>
        <v>20000</v>
      </c>
      <c r="C11" s="16" t="s">
        <v>29</v>
      </c>
      <c r="D11" s="60">
        <f>JahrErsatzbeschaffung1</f>
        <v>5</v>
      </c>
      <c r="E11" s="41"/>
      <c r="F11" s="122"/>
      <c r="G11" s="117"/>
      <c r="H11" s="117"/>
      <c r="I11" s="117"/>
      <c r="J11" s="117"/>
      <c r="K11" s="117"/>
      <c r="L11" s="117"/>
      <c r="M11" s="117"/>
      <c r="N11" s="117"/>
      <c r="O11" s="117"/>
      <c r="P11" s="120"/>
      <c r="Q11" s="115"/>
      <c r="R11" s="14"/>
      <c r="S11" s="14"/>
      <c r="T11" s="14"/>
      <c r="U11" s="14"/>
      <c r="V11" s="14"/>
      <c r="W11" s="14"/>
      <c r="X11" s="14"/>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4" customHeight="1" thickBot="1" x14ac:dyDescent="0.2">
      <c r="A12" s="28" t="s">
        <v>35</v>
      </c>
      <c r="B12" s="59">
        <f>Ersatzbeschaffung2</f>
        <v>10000</v>
      </c>
      <c r="C12" s="28" t="s">
        <v>29</v>
      </c>
      <c r="D12" s="43">
        <f>JahrErsatzbeschaffung2</f>
        <v>10</v>
      </c>
      <c r="E12" s="58"/>
      <c r="F12" s="123"/>
      <c r="G12" s="118"/>
      <c r="H12" s="118"/>
      <c r="I12" s="118"/>
      <c r="J12" s="118"/>
      <c r="K12" s="118"/>
      <c r="L12" s="118"/>
      <c r="M12" s="118"/>
      <c r="N12" s="118"/>
      <c r="O12" s="118"/>
      <c r="P12" s="121"/>
      <c r="Q12" s="116"/>
      <c r="R12" s="14"/>
      <c r="S12" s="14"/>
      <c r="T12" s="14"/>
      <c r="U12" s="14"/>
      <c r="V12" s="14"/>
      <c r="W12" s="14"/>
      <c r="X12" s="14"/>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4" customHeight="1" x14ac:dyDescent="0.15">
      <c r="E13" s="57"/>
      <c r="F13" s="45">
        <f>Berechnungen!B16</f>
        <v>1</v>
      </c>
      <c r="G13" s="46">
        <f>INDEX(Berechnungen!$B$21:$AE$35,4,(1))</f>
        <v>-3000</v>
      </c>
      <c r="H13" s="46">
        <f>INDEX(Berechnungen!$B$21:$AE$35,6,(1))</f>
        <v>-2840</v>
      </c>
      <c r="I13" s="46">
        <f>INDEX(Berechnungen!$B$21:$AE$35,7,(1))</f>
        <v>-3180.0000000000005</v>
      </c>
      <c r="J13" s="46">
        <f>INDEX(Berechnungen!$B$21:$AE$35,5,(1))</f>
        <v>0</v>
      </c>
      <c r="K13" s="46">
        <f>INDEX(Berechnungen!$B$21:$AE$35,8,(1))</f>
        <v>-1500</v>
      </c>
      <c r="L13" s="46">
        <f>INDEX(Berechnungen!$B$21:$AE$35,9,(1))</f>
        <v>15000</v>
      </c>
      <c r="M13" s="46">
        <f>INDEX(Berechnungen!$B$21:$AE$35,10,(1))</f>
        <v>10000</v>
      </c>
      <c r="N13" s="46">
        <f>INDEX(Berechnungen!$B$21:$AE$35,11,(1))</f>
        <v>0</v>
      </c>
      <c r="O13" s="46">
        <f>INDEX(Berechnungen!$B$21:$AE$35,12,(1))</f>
        <v>17480</v>
      </c>
      <c r="P13" s="46">
        <f>INDEX(Berechnungen!$B$21:$AE$35,14,(1))</f>
        <v>-72862.745098039217</v>
      </c>
      <c r="Q13" s="65">
        <f>INDEX(Berechnungen!$B$21:$AE$35,1,(1))</f>
        <v>87000</v>
      </c>
      <c r="R13" s="12"/>
      <c r="S13" s="12"/>
      <c r="T13" s="12"/>
      <c r="U13" s="12"/>
      <c r="V13" s="12"/>
      <c r="W13" s="12"/>
      <c r="X13" s="12"/>
    </row>
    <row r="14" spans="1:52" ht="14" customHeight="1" thickBot="1" x14ac:dyDescent="0.2">
      <c r="A14" s="43" t="s">
        <v>3</v>
      </c>
      <c r="B14" s="126">
        <f>SonstigeKosten</f>
        <v>1500</v>
      </c>
      <c r="C14" s="126"/>
      <c r="D14" s="126"/>
      <c r="E14" s="36"/>
      <c r="F14" s="47">
        <f>Berechnungen!C16</f>
        <v>2</v>
      </c>
      <c r="G14" s="48" cm="1">
        <f t="array" ref="G14">IF(F14&lt;=Nutzungsjahre,INDEX(Berechnungen!$B$21:$AE$35,4,(F13+1)),"")</f>
        <v>-3000</v>
      </c>
      <c r="H14" s="48" cm="1">
        <f t="array" ref="H14">IF(F14&lt;=Nutzungsjahre,INDEX(Berechnungen!$B$21:$AE$35,6,(F13+1)),"")</f>
        <v>-2925.2000000000003</v>
      </c>
      <c r="I14" s="48" cm="1">
        <f t="array" ref="I14">IF(F14&lt;=Nutzungsjahre,INDEX(Berechnungen!$B$21:$AE$35,7,(F13+1)),"")</f>
        <v>-3180.6000000000004</v>
      </c>
      <c r="J14" s="48" cm="1">
        <f t="array" ref="J14">IF(F14&lt;=Nutzungsjahre,INDEX(Berechnungen!$B$21:$AE$35,5,(F13+1)),"")</f>
        <v>0</v>
      </c>
      <c r="K14" s="48" cm="1">
        <f t="array" ref="K14">IF(F14&lt;=Nutzungsjahre,INDEX(Berechnungen!$B$21:$AE$35,8,(F13+1)),"")</f>
        <v>-1530</v>
      </c>
      <c r="L14" s="48" cm="1">
        <f t="array" ref="L14">IF(F14&lt;=Nutzungsjahre,INDEX(Berechnungen!$B$21:$AE$35,9,(F13+1)),"")</f>
        <v>15300</v>
      </c>
      <c r="M14" s="48" cm="1">
        <f t="array" ref="M14">IF(F14&lt;=Nutzungsjahre,INDEX(Berechnungen!$B$21:$AE$35,10,(F13+1)),"")</f>
        <v>10000</v>
      </c>
      <c r="N14" s="48" cm="1">
        <f t="array" ref="N14">IF(F14&lt;=Nutzungsjahre,INDEX(Berechnungen!$B$21:$AE$35,11,(F13+1)),"")</f>
        <v>0</v>
      </c>
      <c r="O14" s="48" cm="1">
        <f t="array" ref="O14">IF(F14&lt;=Nutzungsjahre,INDEX(Berechnungen!$B$21:$AE$35,12,(F13+1)),"")</f>
        <v>17664.199999999997</v>
      </c>
      <c r="P14" s="46" cm="1">
        <f t="array" ref="P14">IF(F14&lt;=Nutzungsjahre,INDEX(Berechnungen!$B$21:$AE$35,14,(F13+1)),"")</f>
        <v>-55884.467512495197</v>
      </c>
      <c r="Q14" s="65" cm="1">
        <f t="array" ref="Q14">IF(F14&lt;=Nutzungsjahre,INDEX(Berechnungen!$B$21:$AE$35,1,(F13+1)),"")</f>
        <v>84000</v>
      </c>
      <c r="R14" s="14"/>
      <c r="S14" s="14"/>
      <c r="T14" s="14"/>
      <c r="U14" s="14"/>
      <c r="V14" s="14"/>
      <c r="W14" s="14"/>
      <c r="X14" s="14"/>
    </row>
    <row r="15" spans="1:52" ht="14" customHeight="1" x14ac:dyDescent="0.15">
      <c r="F15" s="47">
        <f>Berechnungen!D16</f>
        <v>3</v>
      </c>
      <c r="G15" s="48" cm="1">
        <f t="array" ref="G15">IF(F15&lt;=Nutzungsjahre,INDEX(Berechnungen!$B$21:$AE$35,4,(F14+1)),"")</f>
        <v>-3000</v>
      </c>
      <c r="H15" s="48" cm="1">
        <f t="array" ref="H15">IF(F15&lt;=Nutzungsjahre,INDEX(Berechnungen!$B$21:$AE$35,6,(F14+1)),"")</f>
        <v>-3012.9560000000006</v>
      </c>
      <c r="I15" s="48" cm="1">
        <f t="array" ref="I15">IF(F15&lt;=Nutzungsjahre,INDEX(Berechnungen!$B$21:$AE$35,7,(F14+1)),"")</f>
        <v>-3181.2120000000004</v>
      </c>
      <c r="J15" s="48" cm="1">
        <f t="array" ref="J15">IF(F15&lt;=Nutzungsjahre,INDEX(Berechnungen!$B$21:$AE$35,5,(F14+1)),"")</f>
        <v>0</v>
      </c>
      <c r="K15" s="48" cm="1">
        <f t="array" ref="K15">IF(F15&lt;=Nutzungsjahre,INDEX(Berechnungen!$B$21:$AE$35,8,(F14+1)),"")</f>
        <v>-1560.6000000000001</v>
      </c>
      <c r="L15" s="48" cm="1">
        <f t="array" ref="L15">IF(F15&lt;=Nutzungsjahre,INDEX(Berechnungen!$B$21:$AE$35,9,(F14+1)),"")</f>
        <v>15606</v>
      </c>
      <c r="M15" s="48" cm="1">
        <f t="array" ref="M15">IF(F15&lt;=Nutzungsjahre,INDEX(Berechnungen!$B$21:$AE$35,10,(F14+1)),"")</f>
        <v>10000</v>
      </c>
      <c r="N15" s="48" cm="1">
        <f t="array" ref="N15">IF(F15&lt;=Nutzungsjahre,INDEX(Berechnungen!$B$21:$AE$35,11,(F14+1)),"")</f>
        <v>0</v>
      </c>
      <c r="O15" s="48" cm="1">
        <f t="array" ref="O15">IF(F15&lt;=Nutzungsjahre,INDEX(Berechnungen!$B$21:$AE$35,12,(F14+1)),"")</f>
        <v>17851.231999999996</v>
      </c>
      <c r="P15" s="46" cm="1">
        <f t="array" ref="P15">IF(F15&lt;=Nutzungsjahre,INDEX(Berechnungen!$B$21:$AE$35,14,(F14+1)),"")</f>
        <v>-39062.852899714293</v>
      </c>
      <c r="Q15" s="65" cm="1">
        <f t="array" ref="Q15">IF(F15&lt;=Nutzungsjahre,INDEX(Berechnungen!$B$21:$AE$35,1,(F14+1)),"")</f>
        <v>81000</v>
      </c>
      <c r="R15" s="14"/>
      <c r="S15" s="14"/>
      <c r="T15" s="14"/>
      <c r="U15" s="14"/>
      <c r="V15" s="14"/>
      <c r="W15" s="14"/>
      <c r="X15" s="14"/>
    </row>
    <row r="16" spans="1:52" ht="14" customHeight="1" x14ac:dyDescent="0.15">
      <c r="A16" s="2" t="s">
        <v>4</v>
      </c>
      <c r="F16" s="47">
        <f>Berechnungen!E16</f>
        <v>4</v>
      </c>
      <c r="G16" s="48" cm="1">
        <f t="array" ref="G16">IF(F16&lt;=Nutzungsjahre,INDEX(Berechnungen!$B$21:$AE$35,4,(F15+1)),"")</f>
        <v>-3000</v>
      </c>
      <c r="H16" s="48" cm="1">
        <f t="array" ref="H16">IF(F16&lt;=Nutzungsjahre,INDEX(Berechnungen!$B$21:$AE$35,6,(F15+1)),"")</f>
        <v>-3103.3446800000006</v>
      </c>
      <c r="I16" s="48" cm="1">
        <f t="array" ref="I16">IF(F16&lt;=Nutzungsjahre,INDEX(Berechnungen!$B$21:$AE$35,7,(F15+1)),"")</f>
        <v>-3181.8362400000005</v>
      </c>
      <c r="J16" s="48" cm="1">
        <f t="array" ref="J16">IF(F16&lt;=Nutzungsjahre,INDEX(Berechnungen!$B$21:$AE$35,5,(F15+1)),"")</f>
        <v>0</v>
      </c>
      <c r="K16" s="48" cm="1">
        <f t="array" ref="K16">IF(F16&lt;=Nutzungsjahre,INDEX(Berechnungen!$B$21:$AE$35,8,(F15+1)),"")</f>
        <v>-1591.8120000000001</v>
      </c>
      <c r="L16" s="48" cm="1">
        <f t="array" ref="L16">IF(F16&lt;=Nutzungsjahre,INDEX(Berechnungen!$B$21:$AE$35,9,(F15+1)),"")</f>
        <v>15918.12</v>
      </c>
      <c r="M16" s="48" cm="1">
        <f t="array" ref="M16">IF(F16&lt;=Nutzungsjahre,INDEX(Berechnungen!$B$21:$AE$35,10,(F15+1)),"")</f>
        <v>10000</v>
      </c>
      <c r="N16" s="48" cm="1">
        <f t="array" ref="N16">IF(F16&lt;=Nutzungsjahre,INDEX(Berechnungen!$B$21:$AE$35,11,(F15+1)),"")</f>
        <v>0</v>
      </c>
      <c r="O16" s="48" cm="1">
        <f t="array" ref="O16">IF(F16&lt;=Nutzungsjahre,INDEX(Berechnungen!$B$21:$AE$35,12,(F15+1)),"")</f>
        <v>18041.127079999998</v>
      </c>
      <c r="P16" s="46" cm="1">
        <f t="array" ref="P16">IF(F16&lt;=Nutzungsjahre,INDEX(Berechnungen!$B$21:$AE$35,14,(F15+1)),"")</f>
        <v>-22395.640166493213</v>
      </c>
      <c r="Q16" s="65" cm="1">
        <f t="array" ref="Q16">IF(F16&lt;=Nutzungsjahre,INDEX(Berechnungen!$B$21:$AE$35,1,(F15+1)),"")</f>
        <v>78000</v>
      </c>
      <c r="R16" s="14"/>
      <c r="S16" s="14"/>
      <c r="T16" s="14"/>
      <c r="U16" s="14"/>
      <c r="V16" s="14"/>
      <c r="W16" s="14"/>
      <c r="X16" s="14"/>
    </row>
    <row r="17" spans="1:24" ht="14" customHeight="1" x14ac:dyDescent="0.15">
      <c r="A17" s="11" t="s">
        <v>43</v>
      </c>
      <c r="B17" s="124">
        <f>jährlicherErlös</f>
        <v>15000</v>
      </c>
      <c r="C17" s="124"/>
      <c r="D17" s="124"/>
      <c r="E17" s="36"/>
      <c r="F17" s="47">
        <f>Berechnungen!F16</f>
        <v>5</v>
      </c>
      <c r="G17" s="48" cm="1">
        <f t="array" ref="G17">IF(F17&lt;=Nutzungsjahre,INDEX(Berechnungen!$B$21:$AE$35,4,(F16+1)),"")</f>
        <v>-3000</v>
      </c>
      <c r="H17" s="48" cm="1">
        <f t="array" ref="H17">IF(F17&lt;=Nutzungsjahre,INDEX(Berechnungen!$B$21:$AE$35,6,(F16+1)),"")</f>
        <v>-3196.4450204000009</v>
      </c>
      <c r="I17" s="48" cm="1">
        <f t="array" ref="I17">IF(F17&lt;=Nutzungsjahre,INDEX(Berechnungen!$B$21:$AE$35,7,(F16+1)),"")</f>
        <v>-3182.4729648000002</v>
      </c>
      <c r="J17" s="48" cm="1">
        <f t="array" ref="J17">IF(F17&lt;=Nutzungsjahre,INDEX(Berechnungen!$B$21:$AE$35,5,(F16+1)),"")</f>
        <v>-20000</v>
      </c>
      <c r="K17" s="48" cm="1">
        <f t="array" ref="K17">IF(F17&lt;=Nutzungsjahre,INDEX(Berechnungen!$B$21:$AE$35,8,(F16+1)),"")</f>
        <v>-1623.6482400000002</v>
      </c>
      <c r="L17" s="48" cm="1">
        <f t="array" ref="L17">IF(F17&lt;=Nutzungsjahre,INDEX(Berechnungen!$B$21:$AE$35,9,(F16+1)),"")</f>
        <v>16236.482400000001</v>
      </c>
      <c r="M17" s="48" cm="1">
        <f t="array" ref="M17">IF(F17&lt;=Nutzungsjahre,INDEX(Berechnungen!$B$21:$AE$35,10,(F16+1)),"")</f>
        <v>10000</v>
      </c>
      <c r="N17" s="48" cm="1">
        <f t="array" ref="N17">IF(F17&lt;=Nutzungsjahre,INDEX(Berechnungen!$B$21:$AE$35,11,(F16+1)),"")</f>
        <v>0</v>
      </c>
      <c r="O17" s="48" cm="1">
        <f t="array" ref="O17">IF(F17&lt;=Nutzungsjahre,INDEX(Berechnungen!$B$21:$AE$35,12,(F16+1)),"")</f>
        <v>-1766.0838251999994</v>
      </c>
      <c r="P17" s="46" cm="1">
        <f t="array" ref="P17">IF(F17&lt;=Nutzungsjahre,INDEX(Berechnungen!$B$21:$AE$35,14,(F16+1)),"")</f>
        <v>-23995.236699719124</v>
      </c>
      <c r="Q17" s="65" cm="1">
        <f t="array" ref="Q17">IF(F17&lt;=Nutzungsjahre,INDEX(Berechnungen!$B$21:$AE$35,1,(F16+1)),"")</f>
        <v>75000</v>
      </c>
      <c r="R17" s="14"/>
      <c r="S17" s="14"/>
      <c r="T17" s="14"/>
      <c r="U17" s="14"/>
      <c r="V17" s="14"/>
      <c r="W17" s="14"/>
      <c r="X17" s="14"/>
    </row>
    <row r="18" spans="1:24" ht="14" customHeight="1" thickBot="1" x14ac:dyDescent="0.2">
      <c r="A18" s="28" t="s">
        <v>36</v>
      </c>
      <c r="B18" s="59">
        <f>Förderung</f>
        <v>10000</v>
      </c>
      <c r="C18" s="10" t="s">
        <v>52</v>
      </c>
      <c r="D18" s="61">
        <f>LaufzeitFörderung</f>
        <v>10</v>
      </c>
      <c r="E18" s="56"/>
      <c r="F18" s="47">
        <f>Berechnungen!G16</f>
        <v>6</v>
      </c>
      <c r="G18" s="48" cm="1">
        <f t="array" ref="G18">IF(F18&lt;=Nutzungsjahre,INDEX(Berechnungen!$B$21:$AE$35,4,(F17+1)),"")</f>
        <v>-3000</v>
      </c>
      <c r="H18" s="48" cm="1">
        <f t="array" ref="H18">IF(F18&lt;=Nutzungsjahre,INDEX(Berechnungen!$B$21:$AE$35,6,(F17+1)),"")</f>
        <v>-3292.3383710120011</v>
      </c>
      <c r="I18" s="48" cm="1">
        <f t="array" ref="I18">IF(F18&lt;=Nutzungsjahre,INDEX(Berechnungen!$B$21:$AE$35,7,(F17+1)),"")</f>
        <v>-3183.1224240960005</v>
      </c>
      <c r="J18" s="48" cm="1">
        <f t="array" ref="J18">IF(F18&lt;=Nutzungsjahre,INDEX(Berechnungen!$B$21:$AE$35,5,(F17+1)),"")</f>
        <v>0</v>
      </c>
      <c r="K18" s="48" cm="1">
        <f t="array" ref="K18">IF(F18&lt;=Nutzungsjahre,INDEX(Berechnungen!$B$21:$AE$35,8,(F17+1)),"")</f>
        <v>-1656.1212048000002</v>
      </c>
      <c r="L18" s="48" cm="1">
        <f t="array" ref="L18">IF(F18&lt;=Nutzungsjahre,INDEX(Berechnungen!$B$21:$AE$35,9,(F17+1)),"")</f>
        <v>16561.212048000001</v>
      </c>
      <c r="M18" s="48" cm="1">
        <f t="array" ref="M18">IF(F18&lt;=Nutzungsjahre,INDEX(Berechnungen!$B$21:$AE$35,10,(F17+1)),"")</f>
        <v>10000</v>
      </c>
      <c r="N18" s="48" cm="1">
        <f t="array" ref="N18">IF(F18&lt;=Nutzungsjahre,INDEX(Berechnungen!$B$21:$AE$35,11,(F17+1)),"")</f>
        <v>0</v>
      </c>
      <c r="O18" s="48" cm="1">
        <f t="array" ref="O18">IF(F18&lt;=Nutzungsjahre,INDEX(Berechnungen!$B$21:$AE$35,12,(F17+1)),"")</f>
        <v>18429.630048092</v>
      </c>
      <c r="P18" s="46" cm="1">
        <f t="array" ref="P18">IF(F18&lt;=Nutzungsjahre,INDEX(Berechnungen!$B$21:$AE$35,14,(F17+1)),"")</f>
        <v>-7630.252632734695</v>
      </c>
      <c r="Q18" s="65" cm="1">
        <f t="array" ref="Q18">IF(F18&lt;=Nutzungsjahre,INDEX(Berechnungen!$B$21:$AE$35,1,(F17+1)),"")</f>
        <v>72000</v>
      </c>
      <c r="R18" s="14"/>
      <c r="S18" s="14"/>
      <c r="T18" s="14"/>
      <c r="U18" s="14"/>
      <c r="V18" s="14"/>
      <c r="W18" s="14"/>
      <c r="X18" s="14"/>
    </row>
    <row r="19" spans="1:24" ht="14" customHeight="1" x14ac:dyDescent="0.15">
      <c r="F19" s="47">
        <f>Berechnungen!H16</f>
        <v>7</v>
      </c>
      <c r="G19" s="48" cm="1">
        <f t="array" ref="G19">IF(F19&lt;=Nutzungsjahre,INDEX(Berechnungen!$B$21:$AE$35,4,(F18+1)),"")</f>
        <v>-3000</v>
      </c>
      <c r="H19" s="48" cm="1">
        <f t="array" ref="H19">IF(F19&lt;=Nutzungsjahre,INDEX(Berechnungen!$B$21:$AE$35,6,(F18+1)),"")</f>
        <v>-3391.1085221423614</v>
      </c>
      <c r="I19" s="48" cm="1">
        <f t="array" ref="I19">IF(F19&lt;=Nutzungsjahre,INDEX(Berechnungen!$B$21:$AE$35,7,(F18+1)),"")</f>
        <v>-3183.7848725779204</v>
      </c>
      <c r="J19" s="48" cm="1">
        <f t="array" ref="J19">IF(F19&lt;=Nutzungsjahre,INDEX(Berechnungen!$B$21:$AE$35,5,(F18+1)),"")</f>
        <v>0</v>
      </c>
      <c r="K19" s="48" cm="1">
        <f t="array" ref="K19">IF(F19&lt;=Nutzungsjahre,INDEX(Berechnungen!$B$21:$AE$35,8,(F18+1)),"")</f>
        <v>-1689.2436288960002</v>
      </c>
      <c r="L19" s="48" cm="1">
        <f t="array" ref="L19">IF(F19&lt;=Nutzungsjahre,INDEX(Berechnungen!$B$21:$AE$35,9,(F18+1)),"")</f>
        <v>16892.436288960002</v>
      </c>
      <c r="M19" s="48" cm="1">
        <f t="array" ref="M19">IF(F19&lt;=Nutzungsjahre,INDEX(Berechnungen!$B$21:$AE$35,10,(F18+1)),"")</f>
        <v>10000</v>
      </c>
      <c r="N19" s="48" cm="1">
        <f t="array" ref="N19">IF(F19&lt;=Nutzungsjahre,INDEX(Berechnungen!$B$21:$AE$35,11,(F18+1)),"")</f>
        <v>0</v>
      </c>
      <c r="O19" s="48" cm="1">
        <f t="array" ref="O19">IF(F19&lt;=Nutzungsjahre,INDEX(Berechnungen!$B$21:$AE$35,12,(F18+1)),"")</f>
        <v>18628.299265343718</v>
      </c>
      <c r="P19" s="46" cm="1">
        <f t="array" ref="P19">IF(F19&lt;=Nutzungsjahre,INDEX(Berechnungen!$B$21:$AE$35,14,(F18+1)),"")</f>
        <v>8586.8029029763729</v>
      </c>
      <c r="Q19" s="65" cm="1">
        <f t="array" ref="Q19">IF(F19&lt;=Nutzungsjahre,INDEX(Berechnungen!$B$21:$AE$35,1,(F18+1)),"")</f>
        <v>69000</v>
      </c>
      <c r="R19" s="14"/>
      <c r="S19" s="14"/>
      <c r="T19" s="14"/>
      <c r="U19" s="14"/>
      <c r="V19" s="14"/>
      <c r="W19" s="14"/>
      <c r="X19" s="14"/>
    </row>
    <row r="20" spans="1:24" ht="14" customHeight="1" thickBot="1" x14ac:dyDescent="0.2">
      <c r="A20" s="43" t="s">
        <v>6</v>
      </c>
      <c r="B20" s="62">
        <f>Restwert</f>
        <v>0</v>
      </c>
      <c r="C20" s="37"/>
      <c r="D20" s="37"/>
      <c r="E20" s="36"/>
      <c r="F20" s="47">
        <f>Berechnungen!I16</f>
        <v>8</v>
      </c>
      <c r="G20" s="48" cm="1">
        <f t="array" ref="G20">IF(F20&lt;=Nutzungsjahre,INDEX(Berechnungen!$B$21:$AE$35,4,(F19+1)),"")</f>
        <v>-3000</v>
      </c>
      <c r="H20" s="48" cm="1">
        <f t="array" ref="H20">IF(F20&lt;=Nutzungsjahre,INDEX(Berechnungen!$B$21:$AE$35,6,(F19+1)),"")</f>
        <v>-3492.8417778066323</v>
      </c>
      <c r="I20" s="48" cm="1">
        <f t="array" ref="I20">IF(F20&lt;=Nutzungsjahre,INDEX(Berechnungen!$B$21:$AE$35,7,(F19+1)),"")</f>
        <v>-3184.4605700294787</v>
      </c>
      <c r="J20" s="48" cm="1">
        <f t="array" ref="J20">IF(F20&lt;=Nutzungsjahre,INDEX(Berechnungen!$B$21:$AE$35,5,(F19+1)),"")</f>
        <v>0</v>
      </c>
      <c r="K20" s="48" cm="1">
        <f t="array" ref="K20">IF(F20&lt;=Nutzungsjahre,INDEX(Berechnungen!$B$21:$AE$35,8,(F19+1)),"")</f>
        <v>-1723.0285014739202</v>
      </c>
      <c r="L20" s="48" cm="1">
        <f t="array" ref="L20">IF(F20&lt;=Nutzungsjahre,INDEX(Berechnungen!$B$21:$AE$35,9,(F19+1)),"")</f>
        <v>17230.285014739202</v>
      </c>
      <c r="M20" s="48" cm="1">
        <f t="array" ref="M20">IF(F20&lt;=Nutzungsjahre,INDEX(Berechnungen!$B$21:$AE$35,10,(F19+1)),"")</f>
        <v>10000</v>
      </c>
      <c r="N20" s="48" cm="1">
        <f t="array" ref="N20">IF(F20&lt;=Nutzungsjahre,INDEX(Berechnungen!$B$21:$AE$35,11,(F19+1)),"")</f>
        <v>0</v>
      </c>
      <c r="O20" s="48" cm="1">
        <f t="array" ref="O20">IF(F20&lt;=Nutzungsjahre,INDEX(Berechnungen!$B$21:$AE$35,12,(F19+1)),"")</f>
        <v>18829.954165429172</v>
      </c>
      <c r="P20" s="46" cm="1">
        <f t="array" ref="P20">IF(F20&lt;=Nutzungsjahre,INDEX(Berechnungen!$B$21:$AE$35,14,(F19+1)),"")</f>
        <v>24657.987473121306</v>
      </c>
      <c r="Q20" s="65" cm="1">
        <f t="array" ref="Q20">IF(F20&lt;=Nutzungsjahre,INDEX(Berechnungen!$B$21:$AE$35,1,(F19+1)),"")</f>
        <v>66000</v>
      </c>
      <c r="R20" s="14"/>
      <c r="S20" s="14"/>
      <c r="T20" s="14"/>
      <c r="U20" s="14"/>
      <c r="V20" s="14"/>
      <c r="W20" s="14"/>
      <c r="X20" s="14"/>
    </row>
    <row r="21" spans="1:24" ht="14" customHeight="1" x14ac:dyDescent="0.15">
      <c r="B21" s="3"/>
      <c r="F21" s="47">
        <f>Berechnungen!J16</f>
        <v>9</v>
      </c>
      <c r="G21" s="48" cm="1">
        <f t="array" ref="G21">IF(F21&lt;=Nutzungsjahre,INDEX(Berechnungen!$B$21:$AE$35,4,(F20+1)),"")</f>
        <v>-3000</v>
      </c>
      <c r="H21" s="48" cm="1">
        <f t="array" ref="H21">IF(F21&lt;=Nutzungsjahre,INDEX(Berechnungen!$B$21:$AE$35,6,(F20+1)),"")</f>
        <v>-3597.6270311408311</v>
      </c>
      <c r="I21" s="48" cm="1">
        <f t="array" ref="I21">IF(F21&lt;=Nutzungsjahre,INDEX(Berechnungen!$B$21:$AE$35,7,(F20+1)),"")</f>
        <v>-3185.1497814300683</v>
      </c>
      <c r="J21" s="48" cm="1">
        <f t="array" ref="J21">IF(F21&lt;=Nutzungsjahre,INDEX(Berechnungen!$B$21:$AE$35,5,(F20+1)),"")</f>
        <v>0</v>
      </c>
      <c r="K21" s="48" cm="1">
        <f t="array" ref="K21">IF(F21&lt;=Nutzungsjahre,INDEX(Berechnungen!$B$21:$AE$35,8,(F20+1)),"")</f>
        <v>-1757.4890715033987</v>
      </c>
      <c r="L21" s="48" cm="1">
        <f t="array" ref="L21">IF(F21&lt;=Nutzungsjahre,INDEX(Berechnungen!$B$21:$AE$35,9,(F20+1)),"")</f>
        <v>17574.890715033987</v>
      </c>
      <c r="M21" s="48" cm="1">
        <f t="array" ref="M21">IF(F21&lt;=Nutzungsjahre,INDEX(Berechnungen!$B$21:$AE$35,10,(F20+1)),"")</f>
        <v>10000</v>
      </c>
      <c r="N21" s="48" cm="1">
        <f t="array" ref="N21">IF(F21&lt;=Nutzungsjahre,INDEX(Berechnungen!$B$21:$AE$35,11,(F20+1)),"")</f>
        <v>0</v>
      </c>
      <c r="O21" s="48" cm="1">
        <f t="array" ref="O21">IF(F21&lt;=Nutzungsjahre,INDEX(Berechnungen!$B$21:$AE$35,12,(F20+1)),"")</f>
        <v>19034.624830959692</v>
      </c>
      <c r="P21" s="46" cm="1">
        <f t="array" ref="P21">IF(F21&lt;=Nutzungsjahre,INDEX(Berechnungen!$B$21:$AE$35,14,(F20+1)),"")</f>
        <v>40585.310034337293</v>
      </c>
      <c r="Q21" s="65" cm="1">
        <f t="array" ref="Q21">IF(F21&lt;=Nutzungsjahre,INDEX(Berechnungen!$B$21:$AE$35,1,(F20+1)),"")</f>
        <v>63000</v>
      </c>
      <c r="R21" s="14"/>
      <c r="S21" s="14"/>
      <c r="T21" s="14"/>
      <c r="U21" s="14"/>
      <c r="V21" s="14"/>
      <c r="W21" s="14"/>
      <c r="X21" s="14"/>
    </row>
    <row r="22" spans="1:24" ht="14" customHeight="1" x14ac:dyDescent="0.15">
      <c r="A22" s="42" t="s">
        <v>8</v>
      </c>
      <c r="B22" s="64">
        <f>Nutzungsjahre</f>
        <v>30</v>
      </c>
      <c r="C22" s="36"/>
      <c r="D22" s="36"/>
      <c r="E22" s="36"/>
      <c r="F22" s="47">
        <f>Berechnungen!K16</f>
        <v>10</v>
      </c>
      <c r="G22" s="48" cm="1">
        <f t="array" ref="G22">IF(F22&lt;=Nutzungsjahre,INDEX(Berechnungen!$B$21:$AE$35,4,(F21+1)),"")</f>
        <v>-3000</v>
      </c>
      <c r="H22" s="48" cm="1">
        <f t="array" ref="H22">IF(F22&lt;=Nutzungsjahre,INDEX(Berechnungen!$B$21:$AE$35,6,(F21+1)),"")</f>
        <v>-3705.5558420750563</v>
      </c>
      <c r="I22" s="48" cm="1">
        <f t="array" ref="I22">IF(F22&lt;=Nutzungsjahre,INDEX(Berechnungen!$B$21:$AE$35,7,(F21+1)),"")</f>
        <v>-3185.8527770586697</v>
      </c>
      <c r="J22" s="48" cm="1">
        <f t="array" ref="J22">IF(F22&lt;=Nutzungsjahre,INDEX(Berechnungen!$B$21:$AE$35,5,(F21+1)),"")</f>
        <v>-10000</v>
      </c>
      <c r="K22" s="48" cm="1">
        <f t="array" ref="K22">IF(F22&lt;=Nutzungsjahre,INDEX(Berechnungen!$B$21:$AE$35,8,(F21+1)),"")</f>
        <v>-1792.6388529334668</v>
      </c>
      <c r="L22" s="48" cm="1">
        <f t="array" ref="L22">IF(F22&lt;=Nutzungsjahre,INDEX(Berechnungen!$B$21:$AE$35,9,(F21+1)),"")</f>
        <v>17926.388529334668</v>
      </c>
      <c r="M22" s="48" cm="1">
        <f t="array" ref="M22">IF(F22&lt;=Nutzungsjahre,INDEX(Berechnungen!$B$21:$AE$35,10,(F21+1)),"")</f>
        <v>10000</v>
      </c>
      <c r="N22" s="48" cm="1">
        <f t="array" ref="N22">IF(F22&lt;=Nutzungsjahre,INDEX(Berechnungen!$B$21:$AE$35,11,(F21+1)),"")</f>
        <v>0</v>
      </c>
      <c r="O22" s="48" cm="1">
        <f t="array" ref="O22">IF(F22&lt;=Nutzungsjahre,INDEX(Berechnungen!$B$21:$AE$35,12,(F21+1)),"")</f>
        <v>9242.3410572674766</v>
      </c>
      <c r="P22" s="46" cm="1">
        <f t="array" ref="P22">IF(F22&lt;=Nutzungsjahre,INDEX(Berechnungen!$B$21:$AE$35,14,(F21+1)),"")</f>
        <v>48167.248807533011</v>
      </c>
      <c r="Q22" s="65" cm="1">
        <f t="array" ref="Q22">IF(F22&lt;=Nutzungsjahre,INDEX(Berechnungen!$B$21:$AE$35,1,(F21+1)),"")</f>
        <v>60000</v>
      </c>
      <c r="R22" s="14"/>
      <c r="S22" s="14"/>
      <c r="T22" s="14"/>
      <c r="U22" s="14"/>
      <c r="V22" s="14"/>
      <c r="W22" s="14"/>
      <c r="X22" s="14"/>
    </row>
    <row r="23" spans="1:24" ht="14" customHeight="1" thickBot="1" x14ac:dyDescent="0.2">
      <c r="A23" s="43" t="s">
        <v>5</v>
      </c>
      <c r="B23" s="63">
        <f>Abzinsungsfaktor</f>
        <v>0.02</v>
      </c>
      <c r="C23" s="19"/>
      <c r="D23" s="19"/>
      <c r="E23" s="6"/>
      <c r="F23" s="47">
        <f>Berechnungen!L16</f>
        <v>11</v>
      </c>
      <c r="G23" s="48" cm="1">
        <f t="array" ref="G23">IF(F23&lt;=Nutzungsjahre,INDEX(Berechnungen!$B$21:$AE$35,4,(F22+1)),"")</f>
        <v>-3000</v>
      </c>
      <c r="H23" s="48" cm="1">
        <f t="array" ref="H23">IF(F23&lt;=Nutzungsjahre,INDEX(Berechnungen!$B$21:$AE$35,6,(F22+1)),"")</f>
        <v>-3816.7225173373081</v>
      </c>
      <c r="I23" s="48" cm="1">
        <f t="array" ref="I23">IF(F23&lt;=Nutzungsjahre,INDEX(Berechnungen!$B$21:$AE$35,7,(F22+1)),"")</f>
        <v>-3186.5698325998433</v>
      </c>
      <c r="J23" s="48" cm="1">
        <f t="array" ref="J23">IF(F23&lt;=Nutzungsjahre,INDEX(Berechnungen!$B$21:$AE$35,5,(F22+1)),"")</f>
        <v>0</v>
      </c>
      <c r="K23" s="48" cm="1">
        <f t="array" ref="K23">IF(F23&lt;=Nutzungsjahre,INDEX(Berechnungen!$B$21:$AE$35,8,(F22+1)),"")</f>
        <v>-1828.491629992136</v>
      </c>
      <c r="L23" s="48" cm="1">
        <f t="array" ref="L23">IF(F23&lt;=Nutzungsjahre,INDEX(Berechnungen!$B$21:$AE$35,9,(F22+1)),"")</f>
        <v>18284.916299921362</v>
      </c>
      <c r="M23" s="48" cm="1">
        <f t="array" ref="M23">IF(F23&lt;=Nutzungsjahre,INDEX(Berechnungen!$B$21:$AE$35,10,(F22+1)),"")</f>
        <v>0</v>
      </c>
      <c r="N23" s="48" cm="1">
        <f t="array" ref="N23">IF(F23&lt;=Nutzungsjahre,INDEX(Berechnungen!$B$21:$AE$35,11,(F22+1)),"")</f>
        <v>0</v>
      </c>
      <c r="O23" s="48" cm="1">
        <f t="array" ref="O23">IF(F23&lt;=Nutzungsjahre,INDEX(Berechnungen!$B$21:$AE$35,12,(F22+1)),"")</f>
        <v>9453.1323199920735</v>
      </c>
      <c r="P23" s="46" cm="1">
        <f t="array" ref="P23">IF(F23&lt;=Nutzungsjahre,INDEX(Berechnungen!$B$21:$AE$35,14,(F22+1)),"")</f>
        <v>55770.053736160837</v>
      </c>
      <c r="Q23" s="65" cm="1">
        <f t="array" ref="Q23">IF(F23&lt;=Nutzungsjahre,INDEX(Berechnungen!$B$21:$AE$35,1,(F22+1)),"")</f>
        <v>57000</v>
      </c>
    </row>
    <row r="24" spans="1:24" ht="14" customHeight="1" x14ac:dyDescent="0.15">
      <c r="B24" s="3"/>
      <c r="F24" s="47">
        <f>Berechnungen!M16</f>
        <v>12</v>
      </c>
      <c r="G24" s="48" cm="1">
        <f t="array" ref="G24">IF(F24&lt;=Nutzungsjahre,INDEX(Berechnungen!$B$21:$AE$35,4,(F23+1)),"")</f>
        <v>-3000</v>
      </c>
      <c r="H24" s="48" cm="1">
        <f t="array" ref="H24">IF(F24&lt;=Nutzungsjahre,INDEX(Berechnungen!$B$21:$AE$35,6,(F23+1)),"")</f>
        <v>-3931.2241928574276</v>
      </c>
      <c r="I24" s="48" cm="1">
        <f t="array" ref="I24">IF(F24&lt;=Nutzungsjahre,INDEX(Berechnungen!$B$21:$AE$35,7,(F23+1)),"")</f>
        <v>-3187.3012292518401</v>
      </c>
      <c r="J24" s="48" cm="1">
        <f t="array" ref="J24">IF(F24&lt;=Nutzungsjahre,INDEX(Berechnungen!$B$21:$AE$35,5,(F23+1)),"")</f>
        <v>0</v>
      </c>
      <c r="K24" s="48" cm="1">
        <f t="array" ref="K24">IF(F24&lt;=Nutzungsjahre,INDEX(Berechnungen!$B$21:$AE$35,8,(F23+1)),"")</f>
        <v>-1865.0614625919789</v>
      </c>
      <c r="L24" s="48" cm="1">
        <f t="array" ref="L24">IF(F24&lt;=Nutzungsjahre,INDEX(Berechnungen!$B$21:$AE$35,9,(F23+1)),"")</f>
        <v>18650.614625919789</v>
      </c>
      <c r="M24" s="48" cm="1">
        <f t="array" ref="M24">IF(F24&lt;=Nutzungsjahre,INDEX(Berechnungen!$B$21:$AE$35,10,(F23+1)),"")</f>
        <v>0</v>
      </c>
      <c r="N24" s="48" cm="1">
        <f t="array" ref="N24">IF(F24&lt;=Nutzungsjahre,INDEX(Berechnungen!$B$21:$AE$35,11,(F23+1)),"")</f>
        <v>0</v>
      </c>
      <c r="O24" s="48" cm="1">
        <f t="array" ref="O24">IF(F24&lt;=Nutzungsjahre,INDEX(Berechnungen!$B$21:$AE$35,12,(F23+1)),"")</f>
        <v>9667.0277412185424</v>
      </c>
      <c r="P24" s="46" cm="1">
        <f t="array" ref="P24">IF(F24&lt;=Nutzungsjahre,INDEX(Berechnungen!$B$21:$AE$35,14,(F23+1)),"")</f>
        <v>63392.439138270216</v>
      </c>
      <c r="Q24" s="65" cm="1">
        <f t="array" ref="Q24">IF(F24&lt;=Nutzungsjahre,INDEX(Berechnungen!$B$21:$AE$35,1,(F23+1)),"")</f>
        <v>54000</v>
      </c>
    </row>
    <row r="25" spans="1:24" ht="14" customHeight="1" x14ac:dyDescent="0.15">
      <c r="A25" s="42" t="s">
        <v>28</v>
      </c>
      <c r="B25" s="18">
        <f>Kapitalwert</f>
        <v>202569.43659658404</v>
      </c>
      <c r="C25" s="17"/>
      <c r="D25" s="17"/>
      <c r="E25" s="17"/>
      <c r="F25" s="47">
        <f>Berechnungen!N16</f>
        <v>13</v>
      </c>
      <c r="G25" s="48" cm="1">
        <f t="array" ref="G25">IF(F25&lt;=Nutzungsjahre,INDEX(Berechnungen!$B$21:$AE$35,4,(F24+1)),"")</f>
        <v>-3000</v>
      </c>
      <c r="H25" s="48" cm="1">
        <f t="array" ref="H25">IF(F25&lt;=Nutzungsjahre,INDEX(Berechnungen!$B$21:$AE$35,6,(F24+1)),"")</f>
        <v>-4049.1609186431506</v>
      </c>
      <c r="I25" s="48" cm="1">
        <f t="array" ref="I25">IF(F25&lt;=Nutzungsjahre,INDEX(Berechnungen!$B$21:$AE$35,7,(F24+1)),"")</f>
        <v>-3188.0472538368767</v>
      </c>
      <c r="J25" s="48" cm="1">
        <f t="array" ref="J25">IF(F25&lt;=Nutzungsjahre,INDEX(Berechnungen!$B$21:$AE$35,5,(F24+1)),"")</f>
        <v>0</v>
      </c>
      <c r="K25" s="48" cm="1">
        <f t="array" ref="K25">IF(F25&lt;=Nutzungsjahre,INDEX(Berechnungen!$B$21:$AE$35,8,(F24+1)),"")</f>
        <v>-1902.3626918438185</v>
      </c>
      <c r="L25" s="48" cm="1">
        <f t="array" ref="L25">IF(F25&lt;=Nutzungsjahre,INDEX(Berechnungen!$B$21:$AE$35,9,(F24+1)),"")</f>
        <v>19023.626918438185</v>
      </c>
      <c r="M25" s="48" cm="1">
        <f t="array" ref="M25">IF(F25&lt;=Nutzungsjahre,INDEX(Berechnungen!$B$21:$AE$35,10,(F24+1)),"")</f>
        <v>0</v>
      </c>
      <c r="N25" s="48" cm="1">
        <f t="array" ref="N25">IF(F25&lt;=Nutzungsjahre,INDEX(Berechnungen!$B$21:$AE$35,11,(F24+1)),"")</f>
        <v>0</v>
      </c>
      <c r="O25" s="48" cm="1">
        <f t="array" ref="O25">IF(F25&lt;=Nutzungsjahre,INDEX(Berechnungen!$B$21:$AE$35,12,(F24+1)),"")</f>
        <v>9884.0560541143386</v>
      </c>
      <c r="P25" s="46" cm="1">
        <f t="array" ref="P25">IF(F25&lt;=Nutzungsjahre,INDEX(Berechnungen!$B$21:$AE$35,14,(F24+1)),"")</f>
        <v>71033.135947815026</v>
      </c>
      <c r="Q25" s="65" cm="1">
        <f t="array" ref="Q25">IF(F25&lt;=Nutzungsjahre,INDEX(Berechnungen!$B$21:$AE$35,1,(F24+1)),"")</f>
        <v>51000</v>
      </c>
    </row>
    <row r="26" spans="1:24" ht="14" customHeight="1" x14ac:dyDescent="0.15">
      <c r="A26" s="42" t="s">
        <v>63</v>
      </c>
      <c r="B26" s="53">
        <f>StatAmortisationszeit</f>
        <v>6.9796686800708434</v>
      </c>
      <c r="C26" s="54"/>
      <c r="D26" s="54"/>
      <c r="E26" s="54"/>
      <c r="F26" s="47">
        <f>Berechnungen!O16</f>
        <v>14</v>
      </c>
      <c r="G26" s="48" cm="1">
        <f t="array" ref="G26">IF(F26&lt;=Nutzungsjahre,INDEX(Berechnungen!$B$21:$AE$35,4,(F25+1)),"")</f>
        <v>-3000</v>
      </c>
      <c r="H26" s="48" cm="1">
        <f t="array" ref="H26">IF(F26&lt;=Nutzungsjahre,INDEX(Berechnungen!$B$21:$AE$35,6,(F25+1)),"")</f>
        <v>-4170.6357462024453</v>
      </c>
      <c r="I26" s="48" cm="1">
        <f t="array" ref="I26">IF(F26&lt;=Nutzungsjahre,INDEX(Berechnungen!$B$21:$AE$35,7,(F25+1)),"")</f>
        <v>-3188.8081989136144</v>
      </c>
      <c r="J26" s="48" cm="1">
        <f t="array" ref="J26">IF(F26&lt;=Nutzungsjahre,INDEX(Berechnungen!$B$21:$AE$35,5,(F25+1)),"")</f>
        <v>0</v>
      </c>
      <c r="K26" s="48" cm="1">
        <f t="array" ref="K26">IF(F26&lt;=Nutzungsjahre,INDEX(Berechnungen!$B$21:$AE$35,8,(F25+1)),"")</f>
        <v>-1940.409945680695</v>
      </c>
      <c r="L26" s="48" cm="1">
        <f t="array" ref="L26">IF(F26&lt;=Nutzungsjahre,INDEX(Berechnungen!$B$21:$AE$35,9,(F25+1)),"")</f>
        <v>19404.099456806951</v>
      </c>
      <c r="M26" s="48" cm="1">
        <f t="array" ref="M26">IF(F26&lt;=Nutzungsjahre,INDEX(Berechnungen!$B$21:$AE$35,10,(F25+1)),"")</f>
        <v>0</v>
      </c>
      <c r="N26" s="48" cm="1">
        <f t="array" ref="N26">IF(F26&lt;=Nutzungsjahre,INDEX(Berechnungen!$B$21:$AE$35,11,(F25+1)),"")</f>
        <v>0</v>
      </c>
      <c r="O26" s="48" cm="1">
        <f t="array" ref="O26">IF(F26&lt;=Nutzungsjahre,INDEX(Berechnungen!$B$21:$AE$35,12,(F25+1)),"")</f>
        <v>10104.245566010197</v>
      </c>
      <c r="P26" s="46" cm="1">
        <f t="array" ref="P26">IF(F26&lt;=Nutzungsjahre,INDEX(Berechnungen!$B$21:$AE$35,14,(F25+1)),"")</f>
        <v>78690.891304601115</v>
      </c>
      <c r="Q26" s="65" cm="1">
        <f t="array" ref="Q26">IF(F26&lt;=Nutzungsjahre,INDEX(Berechnungen!$B$21:$AE$35,1,(F25+1)),"")</f>
        <v>48000</v>
      </c>
    </row>
    <row r="27" spans="1:24" ht="14" customHeight="1" x14ac:dyDescent="0.15">
      <c r="A27" s="2" t="s">
        <v>62</v>
      </c>
      <c r="B27" s="53">
        <f>DynAmortisationszeit</f>
        <v>9.2285784578481298</v>
      </c>
      <c r="F27" s="47">
        <f>Berechnungen!P16</f>
        <v>15</v>
      </c>
      <c r="G27" s="48" cm="1">
        <f t="array" ref="G27">IF(F27&lt;=Nutzungsjahre,INDEX(Berechnungen!$B$21:$AE$35,4,(F26+1)),"")</f>
        <v>-3000</v>
      </c>
      <c r="H27" s="48" cm="1">
        <f t="array" ref="H27">IF(F27&lt;=Nutzungsjahre,INDEX(Berechnungen!$B$21:$AE$35,6,(F26+1)),"")</f>
        <v>-4295.7548185885189</v>
      </c>
      <c r="I27" s="48" cm="1">
        <f t="array" ref="I27">IF(F27&lt;=Nutzungsjahre,INDEX(Berechnungen!$B$21:$AE$35,7,(F26+1)),"")</f>
        <v>-3189.5843628918865</v>
      </c>
      <c r="J27" s="48" cm="1">
        <f t="array" ref="J27">IF(F27&lt;=Nutzungsjahre,INDEX(Berechnungen!$B$21:$AE$35,5,(F26+1)),"")</f>
        <v>0</v>
      </c>
      <c r="K27" s="48" cm="1">
        <f t="array" ref="K27">IF(F27&lt;=Nutzungsjahre,INDEX(Berechnungen!$B$21:$AE$35,8,(F26+1)),"")</f>
        <v>-1979.218144594309</v>
      </c>
      <c r="L27" s="48" cm="1">
        <f t="array" ref="L27">IF(F27&lt;=Nutzungsjahre,INDEX(Berechnungen!$B$21:$AE$35,9,(F26+1)),"")</f>
        <v>19792.18144594309</v>
      </c>
      <c r="M27" s="48" cm="1">
        <f t="array" ref="M27">IF(F27&lt;=Nutzungsjahre,INDEX(Berechnungen!$B$21:$AE$35,10,(F26+1)),"")</f>
        <v>0</v>
      </c>
      <c r="N27" s="48" cm="1">
        <f t="array" ref="N27">IF(F27&lt;=Nutzungsjahre,INDEX(Berechnungen!$B$21:$AE$35,11,(F26+1)),"")</f>
        <v>0</v>
      </c>
      <c r="O27" s="48" cm="1">
        <f t="array" ref="O27">IF(F27&lt;=Nutzungsjahre,INDEX(Berechnungen!$B$21:$AE$35,12,(F26+1)),"")</f>
        <v>10327.624119868375</v>
      </c>
      <c r="P27" s="46" cm="1">
        <f t="array" ref="P27">IF(F27&lt;=Nutzungsjahre,INDEX(Berechnungen!$B$21:$AE$35,14,(F26+1)),"")</f>
        <v>86364.468151448033</v>
      </c>
      <c r="Q27" s="65" cm="1">
        <f t="array" ref="Q27">IF(F27&lt;=Nutzungsjahre,INDEX(Berechnungen!$B$21:$AE$35,1,(F26+1)),"")</f>
        <v>45000</v>
      </c>
    </row>
    <row r="28" spans="1:24" ht="14" customHeight="1" x14ac:dyDescent="0.15">
      <c r="F28" s="47">
        <f>Berechnungen!Q16</f>
        <v>16</v>
      </c>
      <c r="G28" s="48" cm="1">
        <f t="array" ref="G28">IF(F28&lt;=Nutzungsjahre,INDEX(Berechnungen!$B$21:$AE$35,4,(F27+1)),"")</f>
        <v>-3000</v>
      </c>
      <c r="H28" s="48" cm="1">
        <f t="array" ref="H28">IF(F28&lt;=Nutzungsjahre,INDEX(Berechnungen!$B$21:$AE$35,6,(F27+1)),"")</f>
        <v>-4424.6274631461747</v>
      </c>
      <c r="I28" s="48" cm="1">
        <f t="array" ref="I28">IF(F28&lt;=Nutzungsjahre,INDEX(Berechnungen!$B$21:$AE$35,7,(F27+1)),"")</f>
        <v>-3190.3760501497245</v>
      </c>
      <c r="J28" s="48" cm="1">
        <f t="array" ref="J28">IF(F28&lt;=Nutzungsjahre,INDEX(Berechnungen!$B$21:$AE$35,5,(F27+1)),"")</f>
        <v>0</v>
      </c>
      <c r="K28" s="48" cm="1">
        <f t="array" ref="K28">IF(F28&lt;=Nutzungsjahre,INDEX(Berechnungen!$B$21:$AE$35,8,(F27+1)),"")</f>
        <v>-2018.8025074861953</v>
      </c>
      <c r="L28" s="48" cm="1">
        <f t="array" ref="L28">IF(F28&lt;=Nutzungsjahre,INDEX(Berechnungen!$B$21:$AE$35,9,(F27+1)),"")</f>
        <v>20188.025074861951</v>
      </c>
      <c r="M28" s="48" cm="1">
        <f t="array" ref="M28">IF(F28&lt;=Nutzungsjahre,INDEX(Berechnungen!$B$21:$AE$35,10,(F27+1)),"")</f>
        <v>0</v>
      </c>
      <c r="N28" s="48" cm="1">
        <f t="array" ref="N28">IF(F28&lt;=Nutzungsjahre,INDEX(Berechnungen!$B$21:$AE$35,11,(F27+1)),"")</f>
        <v>0</v>
      </c>
      <c r="O28" s="48" cm="1">
        <f t="array" ref="O28">IF(F28&lt;=Nutzungsjahre,INDEX(Berechnungen!$B$21:$AE$35,12,(F27+1)),"")</f>
        <v>10554.219054079857</v>
      </c>
      <c r="P28" s="46" cm="1">
        <f t="array" ref="P28">IF(F28&lt;=Nutzungsjahre,INDEX(Berechnungen!$B$21:$AE$35,14,(F27+1)),"")</f>
        <v>94052.644838415508</v>
      </c>
      <c r="Q28" s="65" cm="1">
        <f t="array" ref="Q28">IF(F28&lt;=Nutzungsjahre,INDEX(Berechnungen!$B$21:$AE$35,1,(F27+1)),"")</f>
        <v>42000</v>
      </c>
    </row>
    <row r="29" spans="1:24" ht="14" customHeight="1" x14ac:dyDescent="0.15">
      <c r="F29" s="47">
        <f>Berechnungen!R16</f>
        <v>17</v>
      </c>
      <c r="G29" s="48" cm="1">
        <f t="array" ref="G29">IF(F29&lt;=Nutzungsjahre,INDEX(Berechnungen!$B$21:$AE$35,4,(F28+1)),"")</f>
        <v>-3000</v>
      </c>
      <c r="H29" s="48" cm="1">
        <f t="array" ref="H29">IF(F29&lt;=Nutzungsjahre,INDEX(Berechnungen!$B$21:$AE$35,6,(F28+1)),"")</f>
        <v>-4557.3662870405597</v>
      </c>
      <c r="I29" s="48" cm="1">
        <f t="array" ref="I29">IF(F29&lt;=Nutzungsjahre,INDEX(Berechnungen!$B$21:$AE$35,7,(F28+1)),"")</f>
        <v>-3191.1835711527187</v>
      </c>
      <c r="J29" s="48" cm="1">
        <f t="array" ref="J29">IF(F29&lt;=Nutzungsjahre,INDEX(Berechnungen!$B$21:$AE$35,5,(F28+1)),"")</f>
        <v>0</v>
      </c>
      <c r="K29" s="48" cm="1">
        <f t="array" ref="K29">IF(F29&lt;=Nutzungsjahre,INDEX(Berechnungen!$B$21:$AE$35,8,(F28+1)),"")</f>
        <v>-2059.1785576359193</v>
      </c>
      <c r="L29" s="48" cm="1">
        <f t="array" ref="L29">IF(F29&lt;=Nutzungsjahre,INDEX(Berechnungen!$B$21:$AE$35,9,(F28+1)),"")</f>
        <v>20591.785576359191</v>
      </c>
      <c r="M29" s="48" cm="1">
        <f t="array" ref="M29">IF(F29&lt;=Nutzungsjahre,INDEX(Berechnungen!$B$21:$AE$35,10,(F28+1)),"")</f>
        <v>0</v>
      </c>
      <c r="N29" s="48" cm="1">
        <f t="array" ref="N29">IF(F29&lt;=Nutzungsjahre,INDEX(Berechnungen!$B$21:$AE$35,11,(F28+1)),"")</f>
        <v>0</v>
      </c>
      <c r="O29" s="48" cm="1">
        <f t="array" ref="O29">IF(F29&lt;=Nutzungsjahre,INDEX(Berechnungen!$B$21:$AE$35,12,(F28+1)),"")</f>
        <v>10784.057160529992</v>
      </c>
      <c r="P29" s="46" cm="1">
        <f t="array" ref="P29">IF(F29&lt;=Nutzungsjahre,INDEX(Berechnungen!$B$21:$AE$35,14,(F28+1)),"")</f>
        <v>101754.21473394794</v>
      </c>
      <c r="Q29" s="65" cm="1">
        <f t="array" ref="Q29">IF(F29&lt;=Nutzungsjahre,INDEX(Berechnungen!$B$21:$AE$35,1,(F28+1)),"")</f>
        <v>39000</v>
      </c>
    </row>
    <row r="30" spans="1:24" ht="14" customHeight="1" x14ac:dyDescent="0.15">
      <c r="A30" s="11" t="s">
        <v>32</v>
      </c>
      <c r="B30" s="44" t="str">
        <f>IF(B25&gt;0,"vorteilhaft","nicht vorteilhaft")</f>
        <v>vorteilhaft</v>
      </c>
      <c r="F30" s="45">
        <f>Berechnungen!S16</f>
        <v>18</v>
      </c>
      <c r="G30" s="48" cm="1">
        <f t="array" ref="G30">IF(F30&lt;=Nutzungsjahre,INDEX(Berechnungen!$B$21:$AE$35,4,(F29+1)),"")</f>
        <v>-3000</v>
      </c>
      <c r="H30" s="48" cm="1">
        <f t="array" ref="H30">IF(F30&lt;=Nutzungsjahre,INDEX(Berechnungen!$B$21:$AE$35,6,(F29+1)),"")</f>
        <v>-4694.0872756517765</v>
      </c>
      <c r="I30" s="48" cm="1">
        <f t="array" ref="I30">IF(F30&lt;=Nutzungsjahre,INDEX(Berechnungen!$B$21:$AE$35,7,(F29+1)),"")</f>
        <v>-3192.007242575773</v>
      </c>
      <c r="J30" s="48" cm="1">
        <f t="array" ref="J30">IF(F30&lt;=Nutzungsjahre,INDEX(Berechnungen!$B$21:$AE$35,5,(F29+1)),"")</f>
        <v>0</v>
      </c>
      <c r="K30" s="48" cm="1">
        <f t="array" ref="K30">IF(F30&lt;=Nutzungsjahre,INDEX(Berechnungen!$B$21:$AE$35,8,(F29+1)),"")</f>
        <v>-2100.3621287886376</v>
      </c>
      <c r="L30" s="48" cm="1">
        <f t="array" ref="L30">IF(F30&lt;=Nutzungsjahre,INDEX(Berechnungen!$B$21:$AE$35,9,(F29+1)),"")</f>
        <v>21003.621287886373</v>
      </c>
      <c r="M30" s="48" cm="1">
        <f t="array" ref="M30">IF(F30&lt;=Nutzungsjahre,INDEX(Berechnungen!$B$21:$AE$35,10,(F29+1)),"")</f>
        <v>0</v>
      </c>
      <c r="N30" s="48" cm="1">
        <f t="array" ref="N30">IF(F30&lt;=Nutzungsjahre,INDEX(Berechnungen!$B$21:$AE$35,11,(F29+1)),"")</f>
        <v>0</v>
      </c>
      <c r="O30" s="48" cm="1">
        <f t="array" ref="O30">IF(F30&lt;=Nutzungsjahre,INDEX(Berechnungen!$B$21:$AE$35,12,(F29+1)),"")</f>
        <v>11017.164640870185</v>
      </c>
      <c r="P30" s="46" cm="1">
        <f t="array" ref="P30">IF(F30&lt;=Nutzungsjahre,INDEX(Berechnungen!$B$21:$AE$35,14,(F29+1)),"")</f>
        <v>109467.98584279297</v>
      </c>
      <c r="Q30" s="65" cm="1">
        <f t="array" ref="Q30">IF(F30&lt;=Nutzungsjahre,INDEX(Berechnungen!$B$21:$AE$35,1,(F29+1)),"")</f>
        <v>36000</v>
      </c>
    </row>
    <row r="31" spans="1:24" ht="14" customHeight="1" x14ac:dyDescent="0.15">
      <c r="A31" s="11" t="s">
        <v>64</v>
      </c>
      <c r="B31" s="44" t="str">
        <f>IF(B26&lt;B22,"vorteilhaft","nicht vorteilhaft")</f>
        <v>vorteilhaft</v>
      </c>
      <c r="F31" s="45">
        <f>Berechnungen!T16</f>
        <v>19</v>
      </c>
      <c r="G31" s="48" cm="1">
        <f t="array" ref="G31">IF(F31&lt;=Nutzungsjahre,INDEX(Berechnungen!$B$21:$AE$35,4,(F30+1)),"")</f>
        <v>-3000</v>
      </c>
      <c r="H31" s="48" cm="1">
        <f t="array" ref="H31">IF(F31&lt;=Nutzungsjahre,INDEX(Berechnungen!$B$21:$AE$35,6,(F30+1)),"")</f>
        <v>-4834.90989392133</v>
      </c>
      <c r="I31" s="48" cm="1">
        <f t="array" ref="I31">IF(F31&lt;=Nutzungsjahre,INDEX(Berechnungen!$B$21:$AE$35,7,(F30+1)),"")</f>
        <v>-3192.8473874272886</v>
      </c>
      <c r="J31" s="48" cm="1">
        <f t="array" ref="J31">IF(F31&lt;=Nutzungsjahre,INDEX(Berechnungen!$B$21:$AE$35,5,(F30+1)),"")</f>
        <v>0</v>
      </c>
      <c r="K31" s="48" cm="1">
        <f t="array" ref="K31">IF(F31&lt;=Nutzungsjahre,INDEX(Berechnungen!$B$21:$AE$35,8,(F30+1)),"")</f>
        <v>-2142.3693713644102</v>
      </c>
      <c r="L31" s="48" cm="1">
        <f t="array" ref="L31">IF(F31&lt;=Nutzungsjahre,INDEX(Berechnungen!$B$21:$AE$35,9,(F30+1)),"")</f>
        <v>21423.693713644101</v>
      </c>
      <c r="M31" s="48" cm="1">
        <f t="array" ref="M31">IF(F31&lt;=Nutzungsjahre,INDEX(Berechnungen!$B$21:$AE$35,10,(F30+1)),"")</f>
        <v>0</v>
      </c>
      <c r="N31" s="48" cm="1">
        <f t="array" ref="N31">IF(F31&lt;=Nutzungsjahre,INDEX(Berechnungen!$B$21:$AE$35,11,(F30+1)),"")</f>
        <v>0</v>
      </c>
      <c r="O31" s="48" cm="1">
        <f t="array" ref="O31">IF(F31&lt;=Nutzungsjahre,INDEX(Berechnungen!$B$21:$AE$35,12,(F30+1)),"")</f>
        <v>11253.567060931073</v>
      </c>
      <c r="P31" s="46" cm="1">
        <f t="array" ref="P31">IF(F31&lt;=Nutzungsjahre,INDEX(Berechnungen!$B$21:$AE$35,14,(F30+1)),"")</f>
        <v>117192.780430553</v>
      </c>
      <c r="Q31" s="65" cm="1">
        <f t="array" ref="Q31">IF(F31&lt;=Nutzungsjahre,INDEX(Berechnungen!$B$21:$AE$35,1,(F30+1)),"")</f>
        <v>33000</v>
      </c>
    </row>
    <row r="32" spans="1:24" ht="14" customHeight="1" x14ac:dyDescent="0.15">
      <c r="A32" s="1" t="s">
        <v>65</v>
      </c>
      <c r="B32" s="44" t="str">
        <f>IF(B27&lt;B22,"vorteilhaft","nicht vorteilhaft")</f>
        <v>vorteilhaft</v>
      </c>
      <c r="F32" s="45">
        <f>Berechnungen!U16</f>
        <v>20</v>
      </c>
      <c r="G32" s="48" cm="1">
        <f t="array" ref="G32">IF(F32&lt;=Nutzungsjahre,INDEX(Berechnungen!$B$21:$AE$35,4,(F31+1)),"")</f>
        <v>-3000</v>
      </c>
      <c r="H32" s="48" cm="1">
        <f t="array" ref="H32">IF(F32&lt;=Nutzungsjahre,INDEX(Berechnungen!$B$21:$AE$35,6,(F31+1)),"")</f>
        <v>-4979.95719073897</v>
      </c>
      <c r="I32" s="48" cm="1">
        <f t="array" ref="I32">IF(F32&lt;=Nutzungsjahre,INDEX(Berechnungen!$B$21:$AE$35,7,(F31+1)),"")</f>
        <v>-3193.7043351758343</v>
      </c>
      <c r="J32" s="48" cm="1">
        <f t="array" ref="J32">IF(F32&lt;=Nutzungsjahre,INDEX(Berechnungen!$B$21:$AE$35,5,(F31+1)),"")</f>
        <v>0</v>
      </c>
      <c r="K32" s="48" cm="1">
        <f t="array" ref="K32">IF(F32&lt;=Nutzungsjahre,INDEX(Berechnungen!$B$21:$AE$35,8,(F31+1)),"")</f>
        <v>-2185.2167587916983</v>
      </c>
      <c r="L32" s="48" cm="1">
        <f t="array" ref="L32">IF(F32&lt;=Nutzungsjahre,INDEX(Berechnungen!$B$21:$AE$35,9,(F31+1)),"")</f>
        <v>21852.167587916985</v>
      </c>
      <c r="M32" s="48" cm="1">
        <f t="array" ref="M32">IF(F32&lt;=Nutzungsjahre,INDEX(Berechnungen!$B$21:$AE$35,10,(F31+1)),"")</f>
        <v>0</v>
      </c>
      <c r="N32" s="48" cm="1">
        <f t="array" ref="N32">IF(F32&lt;=Nutzungsjahre,INDEX(Berechnungen!$B$21:$AE$35,11,(F31+1)),"")</f>
        <v>0</v>
      </c>
      <c r="O32" s="48" cm="1">
        <f t="array" ref="O32">IF(F32&lt;=Nutzungsjahre,INDEX(Berechnungen!$B$21:$AE$35,12,(F31+1)),"")</f>
        <v>11493.289303210484</v>
      </c>
      <c r="P32" s="46" cm="1">
        <f t="array" ref="P32">IF(F32&lt;=Nutzungsjahre,INDEX(Berechnungen!$B$21:$AE$35,14,(F31+1)),"")</f>
        <v>124927.43465473114</v>
      </c>
      <c r="Q32" s="65" cm="1">
        <f t="array" ref="Q32">IF(F32&lt;=Nutzungsjahre,INDEX(Berechnungen!$B$21:$AE$35,1,(F31+1)),"")</f>
        <v>30000</v>
      </c>
    </row>
    <row r="33" spans="6:17" ht="14" customHeight="1" x14ac:dyDescent="0.15">
      <c r="F33" s="45">
        <f>Berechnungen!V16</f>
        <v>21</v>
      </c>
      <c r="G33" s="48" cm="1">
        <f t="array" ref="G33">IF(F33&lt;=Nutzungsjahre,INDEX(Berechnungen!$B$21:$AE$35,4,(F32+1)),"")</f>
        <v>-3000</v>
      </c>
      <c r="H33" s="48" cm="1">
        <f t="array" ref="H33">IF(F33&lt;=Nutzungsjahre,INDEX(Berechnungen!$B$21:$AE$35,6,(F32+1)),"")</f>
        <v>-5129.3559064611391</v>
      </c>
      <c r="I33" s="48" cm="1">
        <f t="array" ref="I33">IF(F33&lt;=Nutzungsjahre,INDEX(Berechnungen!$B$21:$AE$35,7,(F32+1)),"")</f>
        <v>-3194.578421879351</v>
      </c>
      <c r="J33" s="48" cm="1">
        <f t="array" ref="J33">IF(F33&lt;=Nutzungsjahre,INDEX(Berechnungen!$B$21:$AE$35,5,(F32+1)),"")</f>
        <v>0</v>
      </c>
      <c r="K33" s="48" cm="1">
        <f t="array" ref="K33">IF(F33&lt;=Nutzungsjahre,INDEX(Berechnungen!$B$21:$AE$35,8,(F32+1)),"")</f>
        <v>-2228.9210939675322</v>
      </c>
      <c r="L33" s="48" cm="1">
        <f t="array" ref="L33">IF(F33&lt;=Nutzungsjahre,INDEX(Berechnungen!$B$21:$AE$35,9,(F32+1)),"")</f>
        <v>22289.210939675326</v>
      </c>
      <c r="M33" s="48" cm="1">
        <f t="array" ref="M33">IF(F33&lt;=Nutzungsjahre,INDEX(Berechnungen!$B$21:$AE$35,10,(F32+1)),"")</f>
        <v>0</v>
      </c>
      <c r="N33" s="48" cm="1">
        <f t="array" ref="N33">IF(F33&lt;=Nutzungsjahre,INDEX(Berechnungen!$B$21:$AE$35,11,(F32+1)),"")</f>
        <v>0</v>
      </c>
      <c r="O33" s="48" cm="1">
        <f t="array" ref="O33">IF(F33&lt;=Nutzungsjahre,INDEX(Berechnungen!$B$21:$AE$35,12,(F32+1)),"")</f>
        <v>11736.355517367303</v>
      </c>
      <c r="P33" s="46" cm="1">
        <f t="array" ref="P33">IF(F33&lt;=Nutzungsjahre,INDEX(Berechnungen!$B$21:$AE$35,14,(F32+1)),"")</f>
        <v>132670.79820213583</v>
      </c>
      <c r="Q33" s="65" cm="1">
        <f t="array" ref="Q33">IF(F33&lt;=Nutzungsjahre,INDEX(Berechnungen!$B$21:$AE$35,1,(F32+1)),"")</f>
        <v>27000</v>
      </c>
    </row>
    <row r="34" spans="6:17" ht="14" customHeight="1" x14ac:dyDescent="0.15">
      <c r="F34" s="45">
        <f>Berechnungen!W16</f>
        <v>22</v>
      </c>
      <c r="G34" s="48" cm="1">
        <f t="array" ref="G34">IF(F34&lt;=Nutzungsjahre,INDEX(Berechnungen!$B$21:$AE$35,4,(F33+1)),"")</f>
        <v>-3000</v>
      </c>
      <c r="H34" s="48" cm="1">
        <f t="array" ref="H34">IF(F34&lt;=Nutzungsjahre,INDEX(Berechnungen!$B$21:$AE$35,6,(F33+1)),"")</f>
        <v>-5283.2365836549734</v>
      </c>
      <c r="I34" s="48" cm="1">
        <f t="array" ref="I34">IF(F34&lt;=Nutzungsjahre,INDEX(Berechnungen!$B$21:$AE$35,7,(F33+1)),"")</f>
        <v>-3195.469990316938</v>
      </c>
      <c r="J34" s="48" cm="1">
        <f t="array" ref="J34">IF(F34&lt;=Nutzungsjahre,INDEX(Berechnungen!$B$21:$AE$35,5,(F33+1)),"")</f>
        <v>0</v>
      </c>
      <c r="K34" s="48" cm="1">
        <f t="array" ref="K34">IF(F34&lt;=Nutzungsjahre,INDEX(Berechnungen!$B$21:$AE$35,8,(F33+1)),"")</f>
        <v>-2273.4995158468828</v>
      </c>
      <c r="L34" s="48" cm="1">
        <f t="array" ref="L34">IF(F34&lt;=Nutzungsjahre,INDEX(Berechnungen!$B$21:$AE$35,9,(F33+1)),"")</f>
        <v>22734.995158468832</v>
      </c>
      <c r="M34" s="48" cm="1">
        <f t="array" ref="M34">IF(F34&lt;=Nutzungsjahre,INDEX(Berechnungen!$B$21:$AE$35,10,(F33+1)),"")</f>
        <v>0</v>
      </c>
      <c r="N34" s="48" cm="1">
        <f t="array" ref="N34">IF(F34&lt;=Nutzungsjahre,INDEX(Berechnungen!$B$21:$AE$35,11,(F33+1)),"")</f>
        <v>0</v>
      </c>
      <c r="O34" s="48" cm="1">
        <f t="array" ref="O34">IF(F34&lt;=Nutzungsjahre,INDEX(Berechnungen!$B$21:$AE$35,12,(F33+1)),"")</f>
        <v>11982.789068650038</v>
      </c>
      <c r="P34" s="46" cm="1">
        <f t="array" ref="P34">IF(F34&lt;=Nutzungsjahre,INDEX(Berechnungen!$B$21:$AE$35,14,(F33+1)),"")</f>
        <v>140421.73393251078</v>
      </c>
      <c r="Q34" s="65" cm="1">
        <f t="array" ref="Q34">IF(F34&lt;=Nutzungsjahre,INDEX(Berechnungen!$B$21:$AE$35,1,(F33+1)),"")</f>
        <v>24000</v>
      </c>
    </row>
    <row r="35" spans="6:17" ht="14" customHeight="1" x14ac:dyDescent="0.15">
      <c r="F35" s="45">
        <f>Berechnungen!X16</f>
        <v>23</v>
      </c>
      <c r="G35" s="48" cm="1">
        <f t="array" ref="G35">IF(F35&lt;=Nutzungsjahre,INDEX(Berechnungen!$B$21:$AE$35,4,(F34+1)),"")</f>
        <v>-3000</v>
      </c>
      <c r="H35" s="48" cm="1">
        <f t="array" ref="H35">IF(F35&lt;=Nutzungsjahre,INDEX(Berechnungen!$B$21:$AE$35,6,(F34+1)),"")</f>
        <v>-5441.7336811646228</v>
      </c>
      <c r="I35" s="48" cm="1">
        <f t="array" ref="I35">IF(F35&lt;=Nutzungsjahre,INDEX(Berechnungen!$B$21:$AE$35,7,(F34+1)),"")</f>
        <v>-3196.3793901232771</v>
      </c>
      <c r="J35" s="48" cm="1">
        <f t="array" ref="J35">IF(F35&lt;=Nutzungsjahre,INDEX(Berechnungen!$B$21:$AE$35,5,(F34+1)),"")</f>
        <v>0</v>
      </c>
      <c r="K35" s="48" cm="1">
        <f t="array" ref="K35">IF(F35&lt;=Nutzungsjahre,INDEX(Berechnungen!$B$21:$AE$35,8,(F34+1)),"")</f>
        <v>-2318.9695061638204</v>
      </c>
      <c r="L35" s="48" cm="1">
        <f t="array" ref="L35">IF(F35&lt;=Nutzungsjahre,INDEX(Berechnungen!$B$21:$AE$35,9,(F34+1)),"")</f>
        <v>23189.695061638209</v>
      </c>
      <c r="M35" s="48" cm="1">
        <f t="array" ref="M35">IF(F35&lt;=Nutzungsjahre,INDEX(Berechnungen!$B$21:$AE$35,10,(F34+1)),"")</f>
        <v>0</v>
      </c>
      <c r="N35" s="48" cm="1">
        <f t="array" ref="N35">IF(F35&lt;=Nutzungsjahre,INDEX(Berechnungen!$B$21:$AE$35,11,(F34+1)),"")</f>
        <v>0</v>
      </c>
      <c r="O35" s="48" cm="1">
        <f t="array" ref="O35">IF(F35&lt;=Nutzungsjahre,INDEX(Berechnungen!$B$21:$AE$35,12,(F34+1)),"")</f>
        <v>12232.612484186488</v>
      </c>
      <c r="P35" s="46" cm="1">
        <f t="array" ref="P35">IF(F35&lt;=Nutzungsjahre,INDEX(Berechnungen!$B$21:$AE$35,14,(F34+1)),"")</f>
        <v>148179.11752825943</v>
      </c>
      <c r="Q35" s="65" cm="1">
        <f t="array" ref="Q35">IF(F35&lt;=Nutzungsjahre,INDEX(Berechnungen!$B$21:$AE$35,1,(F34+1)),"")</f>
        <v>21000</v>
      </c>
    </row>
    <row r="36" spans="6:17" ht="14" customHeight="1" x14ac:dyDescent="0.15">
      <c r="F36" s="45">
        <f>Berechnungen!Y16</f>
        <v>24</v>
      </c>
      <c r="G36" s="48" cm="1">
        <f t="array" ref="G36">IF(F36&lt;=Nutzungsjahre,INDEX(Berechnungen!$B$21:$AE$35,4,(F35+1)),"")</f>
        <v>-3000</v>
      </c>
      <c r="H36" s="48" cm="1">
        <f t="array" ref="H36">IF(F36&lt;=Nutzungsjahre,INDEX(Berechnungen!$B$21:$AE$35,6,(F35+1)),"")</f>
        <v>-5604.9856915995615</v>
      </c>
      <c r="I36" s="48" cm="1">
        <f t="array" ref="I36">IF(F36&lt;=Nutzungsjahre,INDEX(Berechnungen!$B$21:$AE$35,7,(F35+1)),"")</f>
        <v>-3197.3069779257426</v>
      </c>
      <c r="J36" s="48" cm="1">
        <f t="array" ref="J36">IF(F36&lt;=Nutzungsjahre,INDEX(Berechnungen!$B$21:$AE$35,5,(F35+1)),"")</f>
        <v>0</v>
      </c>
      <c r="K36" s="48" cm="1">
        <f t="array" ref="K36">IF(F36&lt;=Nutzungsjahre,INDEX(Berechnungen!$B$21:$AE$35,8,(F35+1)),"")</f>
        <v>-2365.348896287097</v>
      </c>
      <c r="L36" s="48" cm="1">
        <f t="array" ref="L36">IF(F36&lt;=Nutzungsjahre,INDEX(Berechnungen!$B$21:$AE$35,9,(F35+1)),"")</f>
        <v>23653.488962870975</v>
      </c>
      <c r="M36" s="48" cm="1">
        <f t="array" ref="M36">IF(F36&lt;=Nutzungsjahre,INDEX(Berechnungen!$B$21:$AE$35,10,(F35+1)),"")</f>
        <v>0</v>
      </c>
      <c r="N36" s="48" cm="1">
        <f t="array" ref="N36">IF(F36&lt;=Nutzungsjahre,INDEX(Berechnungen!$B$21:$AE$35,11,(F35+1)),"")</f>
        <v>0</v>
      </c>
      <c r="O36" s="48" cm="1">
        <f t="array" ref="O36">IF(F36&lt;=Nutzungsjahre,INDEX(Berechnungen!$B$21:$AE$35,12,(F35+1)),"")</f>
        <v>12485.847397058573</v>
      </c>
      <c r="P36" s="46" cm="1">
        <f t="array" ref="P36">IF(F36&lt;=Nutzungsjahre,INDEX(Berechnungen!$B$21:$AE$35,14,(F35+1)),"")</f>
        <v>155941.83715013604</v>
      </c>
      <c r="Q36" s="65" cm="1">
        <f t="array" ref="Q36">IF(F36&lt;=Nutzungsjahre,INDEX(Berechnungen!$B$21:$AE$35,1,(F35+1)),"")</f>
        <v>18000</v>
      </c>
    </row>
    <row r="37" spans="6:17" ht="14" customHeight="1" x14ac:dyDescent="0.15">
      <c r="F37" s="45">
        <f>Berechnungen!Z16</f>
        <v>25</v>
      </c>
      <c r="G37" s="48" cm="1">
        <f t="array" ref="G37">IF(F37&lt;=Nutzungsjahre,INDEX(Berechnungen!$B$21:$AE$35,4,(F36+1)),"")</f>
        <v>-3000</v>
      </c>
      <c r="H37" s="48" cm="1">
        <f t="array" ref="H37">IF(F37&lt;=Nutzungsjahre,INDEX(Berechnungen!$B$21:$AE$35,6,(F36+1)),"")</f>
        <v>-5773.1352623475486</v>
      </c>
      <c r="I37" s="48" cm="1">
        <f t="array" ref="I37">IF(F37&lt;=Nutzungsjahre,INDEX(Berechnungen!$B$21:$AE$35,7,(F36+1)),"")</f>
        <v>-3198.253117484257</v>
      </c>
      <c r="J37" s="48" cm="1">
        <f t="array" ref="J37">IF(F37&lt;=Nutzungsjahre,INDEX(Berechnungen!$B$21:$AE$35,5,(F36+1)),"")</f>
        <v>0</v>
      </c>
      <c r="K37" s="48" cm="1">
        <f t="array" ref="K37">IF(F37&lt;=Nutzungsjahre,INDEX(Berechnungen!$B$21:$AE$35,8,(F36+1)),"")</f>
        <v>-2412.6558742128391</v>
      </c>
      <c r="L37" s="48" cm="1">
        <f t="array" ref="L37">IF(F37&lt;=Nutzungsjahre,INDEX(Berechnungen!$B$21:$AE$35,9,(F36+1)),"")</f>
        <v>24126.558742128396</v>
      </c>
      <c r="M37" s="48" cm="1">
        <f t="array" ref="M37">IF(F37&lt;=Nutzungsjahre,INDEX(Berechnungen!$B$21:$AE$35,10,(F36+1)),"")</f>
        <v>0</v>
      </c>
      <c r="N37" s="48" cm="1">
        <f t="array" ref="N37">IF(F37&lt;=Nutzungsjahre,INDEX(Berechnungen!$B$21:$AE$35,11,(F36+1)),"")</f>
        <v>0</v>
      </c>
      <c r="O37" s="48" cm="1">
        <f t="array" ref="O37">IF(F37&lt;=Nutzungsjahre,INDEX(Berechnungen!$B$21:$AE$35,12,(F36+1)),"")</f>
        <v>12742.514488083751</v>
      </c>
      <c r="P37" s="46" cm="1">
        <f t="array" ref="P37">IF(F37&lt;=Nutzungsjahre,INDEX(Berechnungen!$B$21:$AE$35,14,(F36+1)),"")</f>
        <v>163708.79309877695</v>
      </c>
      <c r="Q37" s="65" cm="1">
        <f t="array" ref="Q37">IF(F37&lt;=Nutzungsjahre,INDEX(Berechnungen!$B$21:$AE$35,1,(F36+1)),"")</f>
        <v>15000</v>
      </c>
    </row>
    <row r="38" spans="6:17" ht="14" customHeight="1" x14ac:dyDescent="0.15">
      <c r="F38" s="45">
        <f>Berechnungen!AA16</f>
        <v>26</v>
      </c>
      <c r="G38" s="48" cm="1">
        <f t="array" ref="G38">IF(F38&lt;=Nutzungsjahre,INDEX(Berechnungen!$B$21:$AE$35,4,(F37+1)),"")</f>
        <v>-3000</v>
      </c>
      <c r="H38" s="48" cm="1">
        <f t="array" ref="H38">IF(F38&lt;=Nutzungsjahre,INDEX(Berechnungen!$B$21:$AE$35,6,(F37+1)),"")</f>
        <v>-5946.3293202179757</v>
      </c>
      <c r="I38" s="48" cm="1">
        <f t="array" ref="I38">IF(F38&lt;=Nutzungsjahre,INDEX(Berechnungen!$B$21:$AE$35,7,(F37+1)),"")</f>
        <v>-3199.2181798339425</v>
      </c>
      <c r="J38" s="48" cm="1">
        <f t="array" ref="J38">IF(F38&lt;=Nutzungsjahre,INDEX(Berechnungen!$B$21:$AE$35,5,(F37+1)),"")</f>
        <v>0</v>
      </c>
      <c r="K38" s="48" cm="1">
        <f t="array" ref="K38">IF(F38&lt;=Nutzungsjahre,INDEX(Berechnungen!$B$21:$AE$35,8,(F37+1)),"")</f>
        <v>-2460.9089916970961</v>
      </c>
      <c r="L38" s="48" cm="1">
        <f t="array" ref="L38">IF(F38&lt;=Nutzungsjahre,INDEX(Berechnungen!$B$21:$AE$35,9,(F37+1)),"")</f>
        <v>24609.089916970963</v>
      </c>
      <c r="M38" s="48" cm="1">
        <f t="array" ref="M38">IF(F38&lt;=Nutzungsjahre,INDEX(Berechnungen!$B$21:$AE$35,10,(F37+1)),"")</f>
        <v>0</v>
      </c>
      <c r="N38" s="48" cm="1">
        <f t="array" ref="N38">IF(F38&lt;=Nutzungsjahre,INDEX(Berechnungen!$B$21:$AE$35,11,(F37+1)),"")</f>
        <v>0</v>
      </c>
      <c r="O38" s="48" cm="1">
        <f t="array" ref="O38">IF(F38&lt;=Nutzungsjahre,INDEX(Berechnungen!$B$21:$AE$35,12,(F37+1)),"")</f>
        <v>13002.633425221949</v>
      </c>
      <c r="P38" s="46" cm="1">
        <f t="array" ref="P38">IF(F38&lt;=Nutzungsjahre,INDEX(Berechnungen!$B$21:$AE$35,14,(F37+1)),"")</f>
        <v>171478.89748194916</v>
      </c>
      <c r="Q38" s="65" cm="1">
        <f t="array" ref="Q38">IF(F38&lt;=Nutzungsjahre,INDEX(Berechnungen!$B$21:$AE$35,1,(F37+1)),"")</f>
        <v>12000</v>
      </c>
    </row>
    <row r="39" spans="6:17" ht="14" customHeight="1" x14ac:dyDescent="0.15">
      <c r="F39" s="45">
        <f>Berechnungen!AB16</f>
        <v>27</v>
      </c>
      <c r="G39" s="48" cm="1">
        <f t="array" ref="G39">IF(F39&lt;=Nutzungsjahre,INDEX(Berechnungen!$B$21:$AE$35,4,(F38+1)),"")</f>
        <v>-3000</v>
      </c>
      <c r="H39" s="48" cm="1">
        <f t="array" ref="H39">IF(F39&lt;=Nutzungsjahre,INDEX(Berechnungen!$B$21:$AE$35,6,(F38+1)),"")</f>
        <v>-6124.7191998245153</v>
      </c>
      <c r="I39" s="48" cm="1">
        <f t="array" ref="I39">IF(F39&lt;=Nutzungsjahre,INDEX(Berechnungen!$B$21:$AE$35,7,(F38+1)),"")</f>
        <v>-3200.2025434306211</v>
      </c>
      <c r="J39" s="48" cm="1">
        <f t="array" ref="J39">IF(F39&lt;=Nutzungsjahre,INDEX(Berechnungen!$B$21:$AE$35,5,(F38+1)),"")</f>
        <v>0</v>
      </c>
      <c r="K39" s="48" cm="1">
        <f t="array" ref="K39">IF(F39&lt;=Nutzungsjahre,INDEX(Berechnungen!$B$21:$AE$35,8,(F38+1)),"")</f>
        <v>-2510.1271715310381</v>
      </c>
      <c r="L39" s="48" cm="1">
        <f t="array" ref="L39">IF(F39&lt;=Nutzungsjahre,INDEX(Berechnungen!$B$21:$AE$35,9,(F38+1)),"")</f>
        <v>25101.271715310384</v>
      </c>
      <c r="M39" s="48" cm="1">
        <f t="array" ref="M39">IF(F39&lt;=Nutzungsjahre,INDEX(Berechnungen!$B$21:$AE$35,10,(F38+1)),"")</f>
        <v>0</v>
      </c>
      <c r="N39" s="48" cm="1">
        <f t="array" ref="N39">IF(F39&lt;=Nutzungsjahre,INDEX(Berechnungen!$B$21:$AE$35,11,(F38+1)),"")</f>
        <v>0</v>
      </c>
      <c r="O39" s="48" cm="1">
        <f t="array" ref="O39">IF(F39&lt;=Nutzungsjahre,INDEX(Berechnungen!$B$21:$AE$35,12,(F38+1)),"")</f>
        <v>13266.22280052421</v>
      </c>
      <c r="P39" s="46" cm="1">
        <f t="array" ref="P39">IF(F39&lt;=Nutzungsjahre,INDEX(Berechnungen!$B$21:$AE$35,14,(F38+1)),"")</f>
        <v>179251.07388739477</v>
      </c>
      <c r="Q39" s="65" cm="1">
        <f t="array" ref="Q39">IF(F39&lt;=Nutzungsjahre,INDEX(Berechnungen!$B$21:$AE$35,1,(F38+1)),"")</f>
        <v>9000</v>
      </c>
    </row>
    <row r="40" spans="6:17" ht="14" customHeight="1" x14ac:dyDescent="0.15">
      <c r="F40" s="45">
        <f>Berechnungen!AC16</f>
        <v>28</v>
      </c>
      <c r="G40" s="48" cm="1">
        <f t="array" ref="G40">IF(F40&lt;=Nutzungsjahre,INDEX(Berechnungen!$B$21:$AE$35,4,(F39+1)),"")</f>
        <v>-3000</v>
      </c>
      <c r="H40" s="48" cm="1">
        <f t="array" ref="H40">IF(F40&lt;=Nutzungsjahre,INDEX(Berechnungen!$B$21:$AE$35,6,(F39+1)),"")</f>
        <v>-6308.4607758192506</v>
      </c>
      <c r="I40" s="48" cm="1">
        <f t="array" ref="I40">IF(F40&lt;=Nutzungsjahre,INDEX(Berechnungen!$B$21:$AE$35,7,(F39+1)),"")</f>
        <v>-3201.2065942992335</v>
      </c>
      <c r="J40" s="48" cm="1">
        <f t="array" ref="J40">IF(F40&lt;=Nutzungsjahre,INDEX(Berechnungen!$B$21:$AE$35,5,(F39+1)),"")</f>
        <v>0</v>
      </c>
      <c r="K40" s="48" cm="1">
        <f t="array" ref="K40">IF(F40&lt;=Nutzungsjahre,INDEX(Berechnungen!$B$21:$AE$35,8,(F39+1)),"")</f>
        <v>-2560.3297149616587</v>
      </c>
      <c r="L40" s="48" cm="1">
        <f t="array" ref="L40">IF(F40&lt;=Nutzungsjahre,INDEX(Berechnungen!$B$21:$AE$35,9,(F39+1)),"")</f>
        <v>25603.297149616592</v>
      </c>
      <c r="M40" s="48" cm="1">
        <f t="array" ref="M40">IF(F40&lt;=Nutzungsjahre,INDEX(Berechnungen!$B$21:$AE$35,10,(F39+1)),"")</f>
        <v>0</v>
      </c>
      <c r="N40" s="48" cm="1">
        <f t="array" ref="N40">IF(F40&lt;=Nutzungsjahre,INDEX(Berechnungen!$B$21:$AE$35,11,(F39+1)),"")</f>
        <v>0</v>
      </c>
      <c r="O40" s="48" cm="1">
        <f t="array" ref="O40">IF(F40&lt;=Nutzungsjahre,INDEX(Berechnungen!$B$21:$AE$35,12,(F39+1)),"")</f>
        <v>13533.300064536448</v>
      </c>
      <c r="P40" s="46" cm="1">
        <f t="array" ref="P40">IF(F40&lt;=Nutzungsjahre,INDEX(Berechnungen!$B$21:$AE$35,14,(F39+1)),"")</f>
        <v>187024.25706115272</v>
      </c>
      <c r="Q40" s="65" cm="1">
        <f t="array" ref="Q40">IF(F40&lt;=Nutzungsjahre,INDEX(Berechnungen!$B$21:$AE$35,1,(F39+1)),"")</f>
        <v>6000</v>
      </c>
    </row>
    <row r="41" spans="6:17" ht="14" customHeight="1" x14ac:dyDescent="0.15">
      <c r="F41" s="45">
        <f>Berechnungen!AD16</f>
        <v>29</v>
      </c>
      <c r="G41" s="48" cm="1">
        <f t="array" ref="G41">IF(F41&lt;=Nutzungsjahre,INDEX(Berechnungen!$B$21:$AE$35,4,(F40+1)),"")</f>
        <v>-3000</v>
      </c>
      <c r="H41" s="48" cm="1">
        <f t="array" ref="H41">IF(F41&lt;=Nutzungsjahre,INDEX(Berechnungen!$B$21:$AE$35,6,(F40+1)),"")</f>
        <v>-6497.7145990938279</v>
      </c>
      <c r="I41" s="48" cm="1">
        <f t="array" ref="I41">IF(F41&lt;=Nutzungsjahre,INDEX(Berechnungen!$B$21:$AE$35,7,(F40+1)),"")</f>
        <v>-3202.2307261852184</v>
      </c>
      <c r="J41" s="48" cm="1">
        <f t="array" ref="J41">IF(F41&lt;=Nutzungsjahre,INDEX(Berechnungen!$B$21:$AE$35,5,(F40+1)),"")</f>
        <v>0</v>
      </c>
      <c r="K41" s="48" cm="1">
        <f t="array" ref="K41">IF(F41&lt;=Nutzungsjahre,INDEX(Berechnungen!$B$21:$AE$35,8,(F40+1)),"")</f>
        <v>-2611.5363092608918</v>
      </c>
      <c r="L41" s="48" cm="1">
        <f t="array" ref="L41">IF(F41&lt;=Nutzungsjahre,INDEX(Berechnungen!$B$21:$AE$35,9,(F40+1)),"")</f>
        <v>26115.363092608924</v>
      </c>
      <c r="M41" s="48" cm="1">
        <f t="array" ref="M41">IF(F41&lt;=Nutzungsjahre,INDEX(Berechnungen!$B$21:$AE$35,10,(F40+1)),"")</f>
        <v>0</v>
      </c>
      <c r="N41" s="48" cm="1">
        <f t="array" ref="N41">IF(F41&lt;=Nutzungsjahre,INDEX(Berechnungen!$B$21:$AE$35,11,(F40+1)),"")</f>
        <v>0</v>
      </c>
      <c r="O41" s="48" cm="1">
        <f t="array" ref="O41">IF(F41&lt;=Nutzungsjahre,INDEX(Berechnungen!$B$21:$AE$35,12,(F40+1)),"")</f>
        <v>13803.881458068987</v>
      </c>
      <c r="P41" s="46" cm="1">
        <f t="array" ref="P41">IF(F41&lt;=Nutzungsjahre,INDEX(Berechnungen!$B$21:$AE$35,14,(F40+1)),"")</f>
        <v>194797.39259124079</v>
      </c>
      <c r="Q41" s="65" cm="1">
        <f t="array" ref="Q41">IF(F41&lt;=Nutzungsjahre,INDEX(Berechnungen!$B$21:$AE$35,1,(F40+1)),"")</f>
        <v>3000</v>
      </c>
    </row>
    <row r="42" spans="6:17" ht="14" customHeight="1" x14ac:dyDescent="0.15">
      <c r="F42" s="47">
        <f>Berechnungen!AE16</f>
        <v>30</v>
      </c>
      <c r="G42" s="48" cm="1">
        <f t="array" ref="G42">IF(F42&lt;=Nutzungsjahre,INDEX(Berechnungen!$B$21:$AE$35,4,(F41+1)),"")</f>
        <v>-3000</v>
      </c>
      <c r="H42" s="48" cm="1">
        <f t="array" ref="H42">IF(F42&lt;=Nutzungsjahre,INDEX(Berechnungen!$B$21:$AE$35,6,(F41+1)),"")</f>
        <v>-6692.6460370666427</v>
      </c>
      <c r="I42" s="48" cm="1">
        <f t="array" ref="I42">IF(F42&lt;=Nutzungsjahre,INDEX(Berechnungen!$B$21:$AE$35,7,(F41+1)),"")</f>
        <v>-3203.2753407089226</v>
      </c>
      <c r="J42" s="48" cm="1">
        <f t="array" ref="J42">IF(F42&lt;=Nutzungsjahre,INDEX(Berechnungen!$B$21:$AE$35,5,(F41+1)),"")</f>
        <v>0</v>
      </c>
      <c r="K42" s="48" cm="1">
        <f t="array" ref="K42">IF(F42&lt;=Nutzungsjahre,INDEX(Berechnungen!$B$21:$AE$35,8,(F41+1)),"")</f>
        <v>-2663.7670354461097</v>
      </c>
      <c r="L42" s="48" cm="1">
        <f t="array" ref="L42">IF(F42&lt;=Nutzungsjahre,INDEX(Berechnungen!$B$21:$AE$35,9,(F41+1)),"")</f>
        <v>26637.670354461105</v>
      </c>
      <c r="M42" s="48" cm="1">
        <f t="array" ref="M42">IF(F42&lt;=Nutzungsjahre,INDEX(Berechnungen!$B$21:$AE$35,10,(F41+1)),"")</f>
        <v>0</v>
      </c>
      <c r="N42" s="48" cm="1">
        <f t="array" ref="N42">IF(F42&lt;=Nutzungsjahre,INDEX(Berechnungen!$B$21:$AE$35,11,(F41+1)),"")</f>
        <v>0</v>
      </c>
      <c r="O42" s="48" cm="1">
        <f t="array" ref="O42">IF(F42&lt;=Nutzungsjahre,INDEX(Berechnungen!$B$21:$AE$35,12,(F41+1)),"")</f>
        <v>14077.98194123943</v>
      </c>
      <c r="P42" s="46" cm="1">
        <f t="array" ref="P42">IF(F42&lt;=Nutzungsjahre,INDEX(Berechnungen!$B$21:$AE$35,14,(F41+1)),"")</f>
        <v>202569.43659658398</v>
      </c>
      <c r="Q42" s="65" cm="1">
        <f t="array" ref="Q42">IF(F42&lt;=Nutzungsjahre,INDEX(Berechnungen!$B$21:$AE$35,1,(F41+1)),"")</f>
        <v>0</v>
      </c>
    </row>
    <row r="43" spans="6:17" ht="14" customHeight="1" x14ac:dyDescent="0.15">
      <c r="F43" s="49"/>
      <c r="G43" s="50"/>
      <c r="H43" s="50"/>
      <c r="I43" s="50"/>
      <c r="J43" s="50"/>
      <c r="K43" s="50"/>
      <c r="L43" s="50"/>
      <c r="M43" s="50"/>
      <c r="N43" s="50"/>
      <c r="O43" s="50"/>
      <c r="P43" s="50"/>
    </row>
    <row r="44" spans="6:17" ht="14" customHeight="1" x14ac:dyDescent="0.15">
      <c r="F44" s="49"/>
      <c r="G44" s="50"/>
      <c r="H44" s="50"/>
      <c r="I44" s="50"/>
      <c r="J44" s="50"/>
      <c r="K44" s="50"/>
      <c r="L44" s="50"/>
      <c r="M44" s="50"/>
      <c r="N44" s="50"/>
      <c r="O44" s="50"/>
      <c r="P44" s="50"/>
    </row>
    <row r="45" spans="6:17" ht="14" customHeight="1" x14ac:dyDescent="0.15">
      <c r="F45" s="49"/>
      <c r="G45" s="50"/>
      <c r="H45" s="50"/>
      <c r="I45" s="50"/>
      <c r="J45" s="50"/>
      <c r="K45" s="50"/>
      <c r="L45" s="50"/>
      <c r="M45" s="50"/>
      <c r="N45" s="50"/>
      <c r="O45" s="50"/>
      <c r="P45" s="50"/>
    </row>
    <row r="46" spans="6:17" ht="14" customHeight="1" x14ac:dyDescent="0.15">
      <c r="F46" s="49"/>
      <c r="G46" s="50"/>
      <c r="H46" s="50"/>
      <c r="I46" s="50"/>
      <c r="J46" s="50"/>
      <c r="K46" s="50"/>
      <c r="L46" s="50"/>
      <c r="M46" s="50"/>
      <c r="N46" s="50"/>
      <c r="O46" s="50"/>
      <c r="P46" s="50"/>
    </row>
    <row r="47" spans="6:17" ht="14" customHeight="1" x14ac:dyDescent="0.15">
      <c r="F47" s="49"/>
      <c r="G47" s="50"/>
      <c r="H47" s="50"/>
      <c r="I47" s="50"/>
      <c r="J47" s="50"/>
      <c r="K47" s="50"/>
      <c r="L47" s="50"/>
      <c r="M47" s="50"/>
      <c r="N47" s="50"/>
      <c r="O47" s="50"/>
      <c r="P47" s="50"/>
    </row>
    <row r="48" spans="6:17" ht="14" customHeight="1" x14ac:dyDescent="0.15">
      <c r="F48" s="49"/>
      <c r="G48" s="50"/>
      <c r="H48" s="50"/>
      <c r="I48" s="50"/>
      <c r="J48" s="50"/>
      <c r="K48" s="50"/>
      <c r="L48" s="50"/>
      <c r="M48" s="50"/>
      <c r="N48" s="50"/>
      <c r="O48" s="50"/>
      <c r="P48" s="50"/>
    </row>
    <row r="49" spans="6:16" ht="14" customHeight="1" x14ac:dyDescent="0.15">
      <c r="F49" s="49"/>
      <c r="G49" s="50"/>
      <c r="H49" s="50"/>
      <c r="I49" s="50"/>
      <c r="J49" s="50"/>
      <c r="K49" s="50"/>
      <c r="L49" s="50"/>
      <c r="M49" s="50"/>
      <c r="N49" s="50"/>
      <c r="O49" s="50"/>
      <c r="P49" s="50"/>
    </row>
    <row r="50" spans="6:16" ht="14" customHeight="1" x14ac:dyDescent="0.15">
      <c r="F50" s="49"/>
      <c r="G50" s="50"/>
      <c r="H50" s="50"/>
      <c r="I50" s="50"/>
      <c r="J50" s="50"/>
      <c r="K50" s="50"/>
      <c r="L50" s="50"/>
      <c r="M50" s="50"/>
      <c r="N50" s="50"/>
      <c r="O50" s="50"/>
      <c r="P50" s="50"/>
    </row>
    <row r="51" spans="6:16" ht="14" customHeight="1" x14ac:dyDescent="0.15">
      <c r="F51" s="49"/>
      <c r="G51" s="50"/>
      <c r="H51" s="50"/>
      <c r="I51" s="50"/>
      <c r="J51" s="50"/>
      <c r="K51" s="50"/>
      <c r="L51" s="50"/>
      <c r="M51" s="50"/>
      <c r="N51" s="50"/>
      <c r="O51" s="50"/>
      <c r="P51" s="50"/>
    </row>
  </sheetData>
  <customSheetViews>
    <customSheetView guid="{BC21BAC2-2C5D-4771-A36D-D3E3041AC412}" showPageBreaks="1" view="pageLayout">
      <selection activeCell="E19" sqref="E19"/>
      <pageMargins left="0.7" right="0.7" top="0.78740157499999996" bottom="0.78740157499999996" header="0.3" footer="0.3"/>
      <pageSetup paperSize="9" orientation="portrait" horizontalDpi="4294967293" verticalDpi="0" r:id="rId1"/>
      <headerFooter>
        <oddHeader xml:space="preserve">&amp;CErgebnis der Kalkulation
</oddHeader>
      </headerFooter>
    </customSheetView>
  </customSheetViews>
  <mergeCells count="20">
    <mergeCell ref="B17:D17"/>
    <mergeCell ref="B4:D4"/>
    <mergeCell ref="B14:D14"/>
    <mergeCell ref="B2:D2"/>
    <mergeCell ref="B3:D3"/>
    <mergeCell ref="B6:D6"/>
    <mergeCell ref="B7:D7"/>
    <mergeCell ref="B8:D8"/>
    <mergeCell ref="F1:F12"/>
    <mergeCell ref="L1:L12"/>
    <mergeCell ref="M1:M12"/>
    <mergeCell ref="G1:G12"/>
    <mergeCell ref="H1:H12"/>
    <mergeCell ref="I1:I12"/>
    <mergeCell ref="Q1:Q12"/>
    <mergeCell ref="N1:N12"/>
    <mergeCell ref="O1:O12"/>
    <mergeCell ref="J1:J12"/>
    <mergeCell ref="K1:K12"/>
    <mergeCell ref="P1:P12"/>
  </mergeCells>
  <conditionalFormatting sqref="B27">
    <cfRule type="cellIs" dxfId="7" priority="3" operator="lessThan">
      <formula>$B$22</formula>
    </cfRule>
    <cfRule type="cellIs" dxfId="6" priority="4" operator="greaterThan">
      <formula>$B$22</formula>
    </cfRule>
  </conditionalFormatting>
  <conditionalFormatting sqref="B30:B32">
    <cfRule type="cellIs" dxfId="5" priority="1" operator="equal">
      <formula>"nicht vorteilhaft"</formula>
    </cfRule>
    <cfRule type="cellIs" dxfId="4" priority="2" operator="equal">
      <formula>"vorteilhaft"</formula>
    </cfRule>
  </conditionalFormatting>
  <conditionalFormatting sqref="B25:E25">
    <cfRule type="cellIs" dxfId="3" priority="7" operator="lessThan">
      <formula>0</formula>
    </cfRule>
    <cfRule type="cellIs" dxfId="2" priority="8" operator="greaterThan">
      <formula>0</formula>
    </cfRule>
  </conditionalFormatting>
  <conditionalFormatting sqref="B26:E26">
    <cfRule type="cellIs" dxfId="1" priority="5" operator="lessThan">
      <formula>$B$22</formula>
    </cfRule>
    <cfRule type="cellIs" dxfId="0" priority="6" operator="greaterThan">
      <formula>$B$22</formula>
    </cfRule>
  </conditionalFormatting>
  <pageMargins left="0.7" right="0.7" top="0.75" bottom="0.75" header="0.3" footer="0.3"/>
  <pageSetup paperSize="9" scale="67" fitToWidth="2" fitToHeight="0" orientation="portrait" horizontalDpi="4294967293" verticalDpi="4294967293" r:id="rId2"/>
  <headerFooter>
    <oddHeader xml:space="preserve">&amp;C&amp;"Verdana,Fett"&amp;14&amp;UErgebnis der Kalkulation
&amp;R&amp;G
</oddHeader>
    <oddFooter>&amp;L&amp;"Verdana,Standard"&amp;9&amp;D&amp;R&amp;"Verdana,Standard"&amp;9Seite &amp;P von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07901-3172-423B-883C-828A06778CA0}">
  <dimension ref="A1:BC40"/>
  <sheetViews>
    <sheetView workbookViewId="0">
      <selection activeCell="B3" sqref="B3"/>
    </sheetView>
  </sheetViews>
  <sheetFormatPr baseColWidth="10" defaultColWidth="11.5" defaultRowHeight="14" x14ac:dyDescent="0.2"/>
  <cols>
    <col min="1" max="1" width="33.6640625" style="67" bestFit="1" customWidth="1"/>
    <col min="2" max="2" width="18.6640625" style="67" bestFit="1" customWidth="1"/>
    <col min="3" max="3" width="18.5" style="67" bestFit="1" customWidth="1"/>
    <col min="4" max="4" width="16.6640625" style="67" bestFit="1" customWidth="1"/>
    <col min="5" max="21" width="14.6640625" style="67" bestFit="1" customWidth="1"/>
    <col min="22" max="27" width="13" style="67" bestFit="1" customWidth="1"/>
    <col min="28" max="31" width="14.1640625" style="67" bestFit="1" customWidth="1"/>
    <col min="32" max="34" width="11.5" style="67" bestFit="1" customWidth="1"/>
    <col min="35" max="35" width="13.1640625" style="67" bestFit="1" customWidth="1"/>
    <col min="36" max="16384" width="11.5" style="67"/>
  </cols>
  <sheetData>
    <row r="1" spans="1:55" ht="14.25" customHeight="1" x14ac:dyDescent="0.2">
      <c r="A1" s="128" t="s">
        <v>16</v>
      </c>
      <c r="B1" s="128"/>
      <c r="C1" s="128"/>
      <c r="D1" s="128"/>
      <c r="E1" s="128"/>
      <c r="F1" s="128"/>
      <c r="G1" s="128"/>
    </row>
    <row r="3" spans="1:55" x14ac:dyDescent="0.2">
      <c r="A3" s="68" t="s">
        <v>1</v>
      </c>
      <c r="B3" s="69">
        <f>-(Wärme+Kälte+Strom+Gas+Wasser)</f>
        <v>-2840</v>
      </c>
    </row>
    <row r="4" spans="1:55" x14ac:dyDescent="0.2">
      <c r="A4" s="67" t="s">
        <v>10</v>
      </c>
      <c r="B4" s="70">
        <f>VerbrauchWärme*PreisWärme</f>
        <v>120</v>
      </c>
    </row>
    <row r="5" spans="1:55" x14ac:dyDescent="0.2">
      <c r="A5" s="67" t="s">
        <v>9</v>
      </c>
      <c r="B5" s="70">
        <f>VerbrauchKälte*PreisKälte</f>
        <v>100</v>
      </c>
      <c r="AJ5" s="71"/>
      <c r="AK5" s="71"/>
      <c r="AL5" s="71"/>
      <c r="AM5" s="71"/>
      <c r="AN5" s="71"/>
      <c r="AO5" s="71"/>
      <c r="AP5" s="71"/>
      <c r="AQ5" s="71"/>
      <c r="AR5" s="71"/>
      <c r="AS5" s="71"/>
      <c r="AT5" s="71"/>
      <c r="AU5" s="71"/>
      <c r="AV5" s="71"/>
      <c r="AW5" s="71"/>
      <c r="AX5" s="71"/>
      <c r="AY5" s="71"/>
      <c r="AZ5" s="71"/>
      <c r="BA5" s="71"/>
      <c r="BB5" s="71"/>
      <c r="BC5" s="71"/>
    </row>
    <row r="6" spans="1:55" x14ac:dyDescent="0.2">
      <c r="A6" s="67" t="s">
        <v>11</v>
      </c>
      <c r="B6" s="70">
        <f>VerbrauchStrom*PreisStrom</f>
        <v>1800</v>
      </c>
      <c r="AJ6" s="71"/>
      <c r="AK6" s="71"/>
      <c r="AL6" s="71"/>
      <c r="AM6" s="71"/>
      <c r="AN6" s="71"/>
      <c r="AO6" s="71"/>
      <c r="AP6" s="71"/>
      <c r="AQ6" s="71"/>
      <c r="AR6" s="71"/>
      <c r="AS6" s="71"/>
      <c r="AT6" s="71"/>
      <c r="AU6" s="71"/>
      <c r="AV6" s="71"/>
      <c r="AW6" s="71"/>
      <c r="AX6" s="71"/>
      <c r="AY6" s="71"/>
      <c r="AZ6" s="71"/>
      <c r="BA6" s="71"/>
      <c r="BB6" s="71"/>
      <c r="BC6" s="71"/>
    </row>
    <row r="7" spans="1:55" s="73" customFormat="1" x14ac:dyDescent="0.2">
      <c r="A7" s="67" t="s">
        <v>49</v>
      </c>
      <c r="B7" s="70">
        <f>VerbrauchGas*PreisGas</f>
        <v>600</v>
      </c>
      <c r="C7" s="72"/>
      <c r="AJ7" s="71"/>
      <c r="AK7" s="71"/>
      <c r="AL7" s="71"/>
      <c r="AM7" s="71"/>
      <c r="AN7" s="71"/>
      <c r="AO7" s="71"/>
      <c r="AP7" s="71"/>
      <c r="AQ7" s="71"/>
      <c r="AR7" s="71"/>
      <c r="AS7" s="71"/>
      <c r="AT7" s="71"/>
      <c r="AU7" s="71"/>
      <c r="AV7" s="71"/>
      <c r="AW7" s="71"/>
      <c r="AX7" s="71"/>
      <c r="AY7" s="71"/>
      <c r="AZ7" s="71"/>
      <c r="BA7" s="71"/>
      <c r="BB7" s="71"/>
      <c r="BC7" s="71"/>
    </row>
    <row r="8" spans="1:55" x14ac:dyDescent="0.2">
      <c r="A8" s="67" t="s">
        <v>12</v>
      </c>
      <c r="B8" s="70">
        <f>VerbrauchWasser*PreisWasser</f>
        <v>220</v>
      </c>
      <c r="AJ8" s="71"/>
      <c r="AK8" s="71"/>
      <c r="AL8" s="71"/>
      <c r="AM8" s="71"/>
      <c r="AN8" s="71"/>
      <c r="AO8" s="71"/>
      <c r="AP8" s="71"/>
      <c r="AQ8" s="71"/>
      <c r="AR8" s="71"/>
      <c r="AS8" s="71"/>
      <c r="AT8" s="71"/>
      <c r="AU8" s="71"/>
      <c r="AV8" s="71"/>
      <c r="AW8" s="71"/>
      <c r="AX8" s="71"/>
      <c r="AY8" s="71"/>
      <c r="AZ8" s="71"/>
      <c r="BA8" s="71"/>
      <c r="BB8" s="71"/>
      <c r="BC8" s="71"/>
    </row>
    <row r="9" spans="1:55" x14ac:dyDescent="0.2">
      <c r="A9" s="68"/>
      <c r="B9" s="74"/>
      <c r="C9" s="75"/>
      <c r="AJ9" s="71"/>
      <c r="AK9" s="71"/>
      <c r="AL9" s="71"/>
      <c r="AM9" s="71"/>
      <c r="AN9" s="71"/>
      <c r="AO9" s="71"/>
      <c r="AP9" s="71"/>
      <c r="AQ9" s="71"/>
      <c r="AR9" s="71"/>
      <c r="AS9" s="71"/>
      <c r="AT9" s="71"/>
      <c r="AU9" s="71"/>
      <c r="AV9" s="71"/>
      <c r="AW9" s="71"/>
      <c r="AX9" s="71"/>
      <c r="AY9" s="71"/>
      <c r="AZ9" s="71"/>
      <c r="BA9" s="71"/>
      <c r="BB9" s="71"/>
      <c r="BC9" s="71"/>
    </row>
    <row r="10" spans="1:55" x14ac:dyDescent="0.2">
      <c r="A10" s="68" t="s">
        <v>2</v>
      </c>
      <c r="B10" s="76" cm="1">
        <f t="array" ref="B10">WartungInspektion+Lohn</f>
        <v>-3180.0000000000005</v>
      </c>
      <c r="AJ10" s="73"/>
      <c r="AK10" s="73"/>
      <c r="AL10" s="73"/>
      <c r="AM10" s="73"/>
      <c r="AN10" s="73"/>
      <c r="AO10" s="73"/>
      <c r="AP10" s="73"/>
      <c r="AQ10" s="73"/>
      <c r="AR10" s="73"/>
      <c r="AS10" s="73"/>
      <c r="AT10" s="73"/>
      <c r="AU10" s="73"/>
      <c r="AV10" s="73"/>
      <c r="AW10" s="73"/>
      <c r="AX10" s="73"/>
      <c r="AY10" s="73"/>
      <c r="AZ10" s="73"/>
      <c r="BA10" s="73"/>
      <c r="BB10" s="73"/>
      <c r="BC10" s="73"/>
    </row>
    <row r="11" spans="1:55" x14ac:dyDescent="0.2">
      <c r="A11" s="67" t="s">
        <v>53</v>
      </c>
      <c r="B11" s="77">
        <f>-KapitalgebundeneKosten*(FaktorInstandsetzung+FaktorWartung)</f>
        <v>-3150.0000000000005</v>
      </c>
      <c r="AJ11" s="73"/>
      <c r="AK11" s="73"/>
      <c r="AL11" s="73"/>
      <c r="AM11" s="73"/>
      <c r="AN11" s="73"/>
      <c r="AO11" s="73"/>
      <c r="AP11" s="73"/>
      <c r="AQ11" s="73"/>
      <c r="AR11" s="73"/>
      <c r="AS11" s="73"/>
      <c r="AT11" s="73"/>
      <c r="AU11" s="73"/>
      <c r="AV11" s="73"/>
      <c r="AW11" s="73"/>
      <c r="AX11" s="73"/>
      <c r="AY11" s="73"/>
      <c r="AZ11" s="73"/>
      <c r="BA11" s="73"/>
      <c r="BB11" s="73"/>
      <c r="BC11" s="73"/>
    </row>
    <row r="12" spans="1:55" x14ac:dyDescent="0.2">
      <c r="A12" s="67" t="s">
        <v>54</v>
      </c>
      <c r="B12" s="70">
        <f>-Arbeitsstunden*Stundenlohn</f>
        <v>-30</v>
      </c>
    </row>
    <row r="13" spans="1:55" x14ac:dyDescent="0.2">
      <c r="AJ13" s="71"/>
      <c r="AK13" s="71"/>
      <c r="AL13" s="71"/>
      <c r="AM13" s="71"/>
      <c r="AN13" s="71"/>
      <c r="AO13" s="71"/>
      <c r="AP13" s="71"/>
      <c r="AQ13" s="71"/>
      <c r="AR13" s="71"/>
      <c r="AS13" s="71"/>
      <c r="AT13" s="71"/>
      <c r="AU13" s="71"/>
      <c r="AV13" s="71"/>
      <c r="AW13" s="71"/>
      <c r="AX13" s="71"/>
      <c r="AY13" s="71"/>
      <c r="AZ13" s="71"/>
      <c r="BA13" s="71"/>
      <c r="BB13" s="71"/>
      <c r="BC13" s="71"/>
    </row>
    <row r="14" spans="1:55" x14ac:dyDescent="0.2">
      <c r="A14" s="67" t="s">
        <v>33</v>
      </c>
      <c r="B14" s="78">
        <f>-KapitalgebundeneKosten/Nutzungsjahre</f>
        <v>-3000</v>
      </c>
      <c r="C14" s="79"/>
      <c r="D14" s="74"/>
      <c r="AJ14" s="71"/>
      <c r="AK14" s="71"/>
      <c r="AL14" s="71"/>
      <c r="AM14" s="71"/>
      <c r="AN14" s="71"/>
      <c r="AO14" s="71"/>
      <c r="AP14" s="71"/>
      <c r="AQ14" s="71"/>
      <c r="AR14" s="71"/>
      <c r="AS14" s="71"/>
      <c r="AT14" s="71"/>
      <c r="AU14" s="71"/>
      <c r="AV14" s="71"/>
      <c r="AW14" s="71"/>
      <c r="AX14" s="71"/>
      <c r="AY14" s="71"/>
      <c r="AZ14" s="71"/>
      <c r="BA14" s="71"/>
      <c r="BB14" s="71"/>
      <c r="BC14" s="71"/>
    </row>
    <row r="15" spans="1:55" x14ac:dyDescent="0.2">
      <c r="B15" s="78"/>
      <c r="C15" s="79"/>
      <c r="D15" s="74"/>
      <c r="AJ15" s="71"/>
      <c r="AK15" s="71"/>
      <c r="AL15" s="71"/>
      <c r="AM15" s="71"/>
      <c r="AN15" s="71"/>
      <c r="AO15" s="71"/>
      <c r="AP15" s="71"/>
      <c r="AQ15" s="71"/>
      <c r="AR15" s="71"/>
      <c r="AS15" s="71"/>
      <c r="AT15" s="71"/>
      <c r="AU15" s="71"/>
      <c r="AV15" s="71"/>
      <c r="AW15" s="71"/>
      <c r="AX15" s="71"/>
      <c r="AY15" s="71"/>
      <c r="AZ15" s="71"/>
      <c r="BA15" s="71"/>
      <c r="BB15" s="71"/>
      <c r="BC15" s="71"/>
    </row>
    <row r="16" spans="1:55" x14ac:dyDescent="0.2">
      <c r="A16" s="80" t="s">
        <v>17</v>
      </c>
      <c r="B16" s="67">
        <f>IF(Nutzungsjahre&gt;=1,1,"")</f>
        <v>1</v>
      </c>
      <c r="C16" s="67">
        <f t="shared" ref="C16:AE16" si="0">IF(B16&lt;Nutzungsjahre,B16+1,"")</f>
        <v>2</v>
      </c>
      <c r="D16" s="67">
        <f t="shared" si="0"/>
        <v>3</v>
      </c>
      <c r="E16" s="67">
        <f t="shared" si="0"/>
        <v>4</v>
      </c>
      <c r="F16" s="67">
        <f t="shared" si="0"/>
        <v>5</v>
      </c>
      <c r="G16" s="67">
        <f t="shared" si="0"/>
        <v>6</v>
      </c>
      <c r="H16" s="67">
        <f t="shared" si="0"/>
        <v>7</v>
      </c>
      <c r="I16" s="67">
        <f t="shared" si="0"/>
        <v>8</v>
      </c>
      <c r="J16" s="67">
        <f t="shared" si="0"/>
        <v>9</v>
      </c>
      <c r="K16" s="67">
        <f t="shared" si="0"/>
        <v>10</v>
      </c>
      <c r="L16" s="67">
        <f t="shared" si="0"/>
        <v>11</v>
      </c>
      <c r="M16" s="67">
        <f t="shared" si="0"/>
        <v>12</v>
      </c>
      <c r="N16" s="67">
        <f t="shared" si="0"/>
        <v>13</v>
      </c>
      <c r="O16" s="67">
        <f t="shared" si="0"/>
        <v>14</v>
      </c>
      <c r="P16" s="67">
        <f t="shared" si="0"/>
        <v>15</v>
      </c>
      <c r="Q16" s="67">
        <f t="shared" si="0"/>
        <v>16</v>
      </c>
      <c r="R16" s="67">
        <f t="shared" si="0"/>
        <v>17</v>
      </c>
      <c r="S16" s="67">
        <f t="shared" si="0"/>
        <v>18</v>
      </c>
      <c r="T16" s="67">
        <f t="shared" si="0"/>
        <v>19</v>
      </c>
      <c r="U16" s="67">
        <f t="shared" si="0"/>
        <v>20</v>
      </c>
      <c r="V16" s="67">
        <f t="shared" si="0"/>
        <v>21</v>
      </c>
      <c r="W16" s="67">
        <f t="shared" si="0"/>
        <v>22</v>
      </c>
      <c r="X16" s="67">
        <f t="shared" si="0"/>
        <v>23</v>
      </c>
      <c r="Y16" s="67">
        <f t="shared" si="0"/>
        <v>24</v>
      </c>
      <c r="Z16" s="67">
        <f t="shared" si="0"/>
        <v>25</v>
      </c>
      <c r="AA16" s="67">
        <f t="shared" si="0"/>
        <v>26</v>
      </c>
      <c r="AB16" s="67">
        <f t="shared" si="0"/>
        <v>27</v>
      </c>
      <c r="AC16" s="67">
        <f t="shared" si="0"/>
        <v>28</v>
      </c>
      <c r="AD16" s="67">
        <f t="shared" si="0"/>
        <v>29</v>
      </c>
      <c r="AE16" s="67">
        <f t="shared" si="0"/>
        <v>30</v>
      </c>
    </row>
    <row r="17" spans="1:55" x14ac:dyDescent="0.2">
      <c r="A17" s="68" t="s">
        <v>70</v>
      </c>
      <c r="B17" s="68"/>
      <c r="C17" s="81"/>
      <c r="D17" s="81"/>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row>
    <row r="18" spans="1:55" s="70" customFormat="1" x14ac:dyDescent="0.2">
      <c r="A18" s="70" t="s">
        <v>71</v>
      </c>
      <c r="B18" s="70">
        <f>IF(B16&lt;=Nutzungsjahre,0,"")</f>
        <v>0</v>
      </c>
      <c r="C18" s="70">
        <f t="shared" ref="C18:AE18" si="1">IF(C16&lt;=Nutzungsjahre,B21,"")</f>
        <v>87000</v>
      </c>
      <c r="D18" s="70">
        <f t="shared" si="1"/>
        <v>84000</v>
      </c>
      <c r="E18" s="70">
        <f t="shared" si="1"/>
        <v>81000</v>
      </c>
      <c r="F18" s="70">
        <f t="shared" si="1"/>
        <v>78000</v>
      </c>
      <c r="G18" s="70">
        <f t="shared" si="1"/>
        <v>75000</v>
      </c>
      <c r="H18" s="70">
        <f t="shared" si="1"/>
        <v>72000</v>
      </c>
      <c r="I18" s="70">
        <f t="shared" si="1"/>
        <v>69000</v>
      </c>
      <c r="J18" s="70">
        <f t="shared" si="1"/>
        <v>66000</v>
      </c>
      <c r="K18" s="70">
        <f t="shared" si="1"/>
        <v>63000</v>
      </c>
      <c r="L18" s="70">
        <f t="shared" si="1"/>
        <v>60000</v>
      </c>
      <c r="M18" s="70">
        <f t="shared" si="1"/>
        <v>57000</v>
      </c>
      <c r="N18" s="70">
        <f t="shared" si="1"/>
        <v>54000</v>
      </c>
      <c r="O18" s="70">
        <f t="shared" si="1"/>
        <v>51000</v>
      </c>
      <c r="P18" s="70">
        <f t="shared" si="1"/>
        <v>48000</v>
      </c>
      <c r="Q18" s="70">
        <f t="shared" si="1"/>
        <v>45000</v>
      </c>
      <c r="R18" s="70">
        <f t="shared" si="1"/>
        <v>42000</v>
      </c>
      <c r="S18" s="70">
        <f t="shared" si="1"/>
        <v>39000</v>
      </c>
      <c r="T18" s="70">
        <f t="shared" si="1"/>
        <v>36000</v>
      </c>
      <c r="U18" s="70">
        <f t="shared" si="1"/>
        <v>33000</v>
      </c>
      <c r="V18" s="70">
        <f t="shared" si="1"/>
        <v>30000</v>
      </c>
      <c r="W18" s="70">
        <f t="shared" si="1"/>
        <v>27000</v>
      </c>
      <c r="X18" s="70">
        <f t="shared" si="1"/>
        <v>24000</v>
      </c>
      <c r="Y18" s="70">
        <f t="shared" si="1"/>
        <v>21000</v>
      </c>
      <c r="Z18" s="70">
        <f t="shared" si="1"/>
        <v>18000</v>
      </c>
      <c r="AA18" s="70">
        <f t="shared" si="1"/>
        <v>15000</v>
      </c>
      <c r="AB18" s="70">
        <f t="shared" si="1"/>
        <v>12000</v>
      </c>
      <c r="AC18" s="70">
        <f t="shared" si="1"/>
        <v>9000</v>
      </c>
      <c r="AD18" s="70">
        <f t="shared" si="1"/>
        <v>6000</v>
      </c>
      <c r="AE18" s="70">
        <f t="shared" si="1"/>
        <v>3000</v>
      </c>
    </row>
    <row r="19" spans="1:55" s="70" customFormat="1" x14ac:dyDescent="0.2">
      <c r="A19" s="70" t="s">
        <v>72</v>
      </c>
      <c r="B19" s="83">
        <f>KapitalgebundeneKosten+Restwert</f>
        <v>90000</v>
      </c>
      <c r="C19" s="81">
        <f t="shared" ref="C19:AE19" si="2">IF(C16&lt;=Nutzungsjahre,0,"")</f>
        <v>0</v>
      </c>
      <c r="D19" s="81">
        <f t="shared" si="2"/>
        <v>0</v>
      </c>
      <c r="E19" s="81">
        <f t="shared" si="2"/>
        <v>0</v>
      </c>
      <c r="F19" s="81">
        <f t="shared" si="2"/>
        <v>0</v>
      </c>
      <c r="G19" s="81">
        <f t="shared" si="2"/>
        <v>0</v>
      </c>
      <c r="H19" s="81">
        <f t="shared" si="2"/>
        <v>0</v>
      </c>
      <c r="I19" s="81">
        <f t="shared" si="2"/>
        <v>0</v>
      </c>
      <c r="J19" s="81">
        <f t="shared" si="2"/>
        <v>0</v>
      </c>
      <c r="K19" s="81">
        <f t="shared" si="2"/>
        <v>0</v>
      </c>
      <c r="L19" s="81">
        <f t="shared" si="2"/>
        <v>0</v>
      </c>
      <c r="M19" s="81">
        <f t="shared" si="2"/>
        <v>0</v>
      </c>
      <c r="N19" s="81">
        <f t="shared" si="2"/>
        <v>0</v>
      </c>
      <c r="O19" s="81">
        <f t="shared" si="2"/>
        <v>0</v>
      </c>
      <c r="P19" s="81">
        <f t="shared" si="2"/>
        <v>0</v>
      </c>
      <c r="Q19" s="81">
        <f t="shared" si="2"/>
        <v>0</v>
      </c>
      <c r="R19" s="81">
        <f t="shared" si="2"/>
        <v>0</v>
      </c>
      <c r="S19" s="81">
        <f t="shared" si="2"/>
        <v>0</v>
      </c>
      <c r="T19" s="81">
        <f t="shared" si="2"/>
        <v>0</v>
      </c>
      <c r="U19" s="81">
        <f t="shared" si="2"/>
        <v>0</v>
      </c>
      <c r="V19" s="81">
        <f t="shared" si="2"/>
        <v>0</v>
      </c>
      <c r="W19" s="81">
        <f t="shared" si="2"/>
        <v>0</v>
      </c>
      <c r="X19" s="81">
        <f t="shared" si="2"/>
        <v>0</v>
      </c>
      <c r="Y19" s="81">
        <f t="shared" si="2"/>
        <v>0</v>
      </c>
      <c r="Z19" s="81">
        <f t="shared" si="2"/>
        <v>0</v>
      </c>
      <c r="AA19" s="81">
        <f t="shared" si="2"/>
        <v>0</v>
      </c>
      <c r="AB19" s="81">
        <f t="shared" si="2"/>
        <v>0</v>
      </c>
      <c r="AC19" s="81">
        <f t="shared" si="2"/>
        <v>0</v>
      </c>
      <c r="AD19" s="81">
        <f t="shared" si="2"/>
        <v>0</v>
      </c>
      <c r="AE19" s="81">
        <f t="shared" si="2"/>
        <v>0</v>
      </c>
    </row>
    <row r="20" spans="1:55" s="70" customFormat="1" x14ac:dyDescent="0.2">
      <c r="A20" s="70" t="s">
        <v>73</v>
      </c>
      <c r="B20" s="70">
        <f t="shared" ref="B20:AE20" si="3">IF(B16&lt;=Nutzungsjahre,Abschreibunglinear,"")</f>
        <v>-3000</v>
      </c>
      <c r="C20" s="70">
        <f t="shared" si="3"/>
        <v>-3000</v>
      </c>
      <c r="D20" s="70">
        <f t="shared" si="3"/>
        <v>-3000</v>
      </c>
      <c r="E20" s="70">
        <f t="shared" si="3"/>
        <v>-3000</v>
      </c>
      <c r="F20" s="70">
        <f t="shared" si="3"/>
        <v>-3000</v>
      </c>
      <c r="G20" s="70">
        <f t="shared" si="3"/>
        <v>-3000</v>
      </c>
      <c r="H20" s="70">
        <f t="shared" si="3"/>
        <v>-3000</v>
      </c>
      <c r="I20" s="70">
        <f t="shared" si="3"/>
        <v>-3000</v>
      </c>
      <c r="J20" s="70">
        <f t="shared" si="3"/>
        <v>-3000</v>
      </c>
      <c r="K20" s="70">
        <f t="shared" si="3"/>
        <v>-3000</v>
      </c>
      <c r="L20" s="70">
        <f t="shared" si="3"/>
        <v>-3000</v>
      </c>
      <c r="M20" s="70">
        <f t="shared" si="3"/>
        <v>-3000</v>
      </c>
      <c r="N20" s="70">
        <f t="shared" si="3"/>
        <v>-3000</v>
      </c>
      <c r="O20" s="70">
        <f t="shared" si="3"/>
        <v>-3000</v>
      </c>
      <c r="P20" s="70">
        <f t="shared" si="3"/>
        <v>-3000</v>
      </c>
      <c r="Q20" s="70">
        <f t="shared" si="3"/>
        <v>-3000</v>
      </c>
      <c r="R20" s="70">
        <f t="shared" si="3"/>
        <v>-3000</v>
      </c>
      <c r="S20" s="70">
        <f t="shared" si="3"/>
        <v>-3000</v>
      </c>
      <c r="T20" s="70">
        <f t="shared" si="3"/>
        <v>-3000</v>
      </c>
      <c r="U20" s="70">
        <f t="shared" si="3"/>
        <v>-3000</v>
      </c>
      <c r="V20" s="70">
        <f t="shared" si="3"/>
        <v>-3000</v>
      </c>
      <c r="W20" s="70">
        <f t="shared" si="3"/>
        <v>-3000</v>
      </c>
      <c r="X20" s="70">
        <f t="shared" si="3"/>
        <v>-3000</v>
      </c>
      <c r="Y20" s="70">
        <f t="shared" si="3"/>
        <v>-3000</v>
      </c>
      <c r="Z20" s="70">
        <f t="shared" si="3"/>
        <v>-3000</v>
      </c>
      <c r="AA20" s="70">
        <f t="shared" si="3"/>
        <v>-3000</v>
      </c>
      <c r="AB20" s="70">
        <f t="shared" si="3"/>
        <v>-3000</v>
      </c>
      <c r="AC20" s="70">
        <f t="shared" si="3"/>
        <v>-3000</v>
      </c>
      <c r="AD20" s="70">
        <f t="shared" si="3"/>
        <v>-3000</v>
      </c>
      <c r="AE20" s="70">
        <f t="shared" si="3"/>
        <v>-3000</v>
      </c>
    </row>
    <row r="21" spans="1:55" s="70" customFormat="1" x14ac:dyDescent="0.2">
      <c r="A21" s="70" t="s">
        <v>74</v>
      </c>
      <c r="B21" s="70">
        <f>IF(B16&lt;=Nutzungsjahre,B19+B20,"")</f>
        <v>87000</v>
      </c>
      <c r="C21" s="70">
        <f t="shared" ref="C21:AE21" si="4">IF(C16&lt;=Nutzungsjahre,C18+C20,"")</f>
        <v>84000</v>
      </c>
      <c r="D21" s="70">
        <f t="shared" si="4"/>
        <v>81000</v>
      </c>
      <c r="E21" s="70">
        <f t="shared" si="4"/>
        <v>78000</v>
      </c>
      <c r="F21" s="70">
        <f t="shared" si="4"/>
        <v>75000</v>
      </c>
      <c r="G21" s="70">
        <f t="shared" si="4"/>
        <v>72000</v>
      </c>
      <c r="H21" s="70">
        <f t="shared" si="4"/>
        <v>69000</v>
      </c>
      <c r="I21" s="70">
        <f t="shared" si="4"/>
        <v>66000</v>
      </c>
      <c r="J21" s="70">
        <f t="shared" si="4"/>
        <v>63000</v>
      </c>
      <c r="K21" s="70">
        <f t="shared" si="4"/>
        <v>60000</v>
      </c>
      <c r="L21" s="70">
        <f t="shared" si="4"/>
        <v>57000</v>
      </c>
      <c r="M21" s="70">
        <f t="shared" si="4"/>
        <v>54000</v>
      </c>
      <c r="N21" s="70">
        <f t="shared" si="4"/>
        <v>51000</v>
      </c>
      <c r="O21" s="70">
        <f t="shared" si="4"/>
        <v>48000</v>
      </c>
      <c r="P21" s="70">
        <f t="shared" si="4"/>
        <v>45000</v>
      </c>
      <c r="Q21" s="70">
        <f t="shared" si="4"/>
        <v>42000</v>
      </c>
      <c r="R21" s="70">
        <f t="shared" si="4"/>
        <v>39000</v>
      </c>
      <c r="S21" s="70">
        <f t="shared" si="4"/>
        <v>36000</v>
      </c>
      <c r="T21" s="70">
        <f t="shared" si="4"/>
        <v>33000</v>
      </c>
      <c r="U21" s="70">
        <f t="shared" si="4"/>
        <v>30000</v>
      </c>
      <c r="V21" s="70">
        <f t="shared" si="4"/>
        <v>27000</v>
      </c>
      <c r="W21" s="70">
        <f t="shared" si="4"/>
        <v>24000</v>
      </c>
      <c r="X21" s="70">
        <f t="shared" si="4"/>
        <v>21000</v>
      </c>
      <c r="Y21" s="70">
        <f t="shared" si="4"/>
        <v>18000</v>
      </c>
      <c r="Z21" s="70">
        <f t="shared" si="4"/>
        <v>15000</v>
      </c>
      <c r="AA21" s="70">
        <f t="shared" si="4"/>
        <v>12000</v>
      </c>
      <c r="AB21" s="70">
        <f t="shared" si="4"/>
        <v>9000</v>
      </c>
      <c r="AC21" s="70">
        <f t="shared" si="4"/>
        <v>6000</v>
      </c>
      <c r="AD21" s="70">
        <f t="shared" si="4"/>
        <v>3000</v>
      </c>
      <c r="AE21" s="70">
        <f t="shared" si="4"/>
        <v>0</v>
      </c>
    </row>
    <row r="22" spans="1:55" x14ac:dyDescent="0.2">
      <c r="C22" s="79"/>
      <c r="D22" s="74"/>
      <c r="AJ22" s="71"/>
      <c r="AK22" s="71"/>
      <c r="AL22" s="71"/>
      <c r="AM22" s="71"/>
      <c r="AN22" s="71"/>
      <c r="AO22" s="71"/>
      <c r="AP22" s="71"/>
      <c r="AQ22" s="71"/>
      <c r="AR22" s="71"/>
      <c r="AS22" s="71"/>
      <c r="AT22" s="71"/>
      <c r="AU22" s="71"/>
      <c r="AV22" s="71"/>
      <c r="AW22" s="71"/>
      <c r="AX22" s="71"/>
      <c r="AY22" s="71"/>
      <c r="AZ22" s="71"/>
      <c r="BA22" s="71"/>
      <c r="BB22" s="71"/>
      <c r="BC22" s="71"/>
    </row>
    <row r="24" spans="1:55" x14ac:dyDescent="0.2">
      <c r="A24" s="84" t="s">
        <v>18</v>
      </c>
      <c r="B24" s="77">
        <f t="shared" ref="B24:AE24" si="5">IF(B16&lt;=Nutzungsjahre,Abschreibunglinear,"")</f>
        <v>-3000</v>
      </c>
      <c r="C24" s="77">
        <f t="shared" si="5"/>
        <v>-3000</v>
      </c>
      <c r="D24" s="77">
        <f t="shared" si="5"/>
        <v>-3000</v>
      </c>
      <c r="E24" s="77">
        <f t="shared" si="5"/>
        <v>-3000</v>
      </c>
      <c r="F24" s="77">
        <f t="shared" si="5"/>
        <v>-3000</v>
      </c>
      <c r="G24" s="77">
        <f t="shared" si="5"/>
        <v>-3000</v>
      </c>
      <c r="H24" s="77">
        <f t="shared" si="5"/>
        <v>-3000</v>
      </c>
      <c r="I24" s="77">
        <f t="shared" si="5"/>
        <v>-3000</v>
      </c>
      <c r="J24" s="77">
        <f t="shared" si="5"/>
        <v>-3000</v>
      </c>
      <c r="K24" s="77">
        <f t="shared" si="5"/>
        <v>-3000</v>
      </c>
      <c r="L24" s="77">
        <f t="shared" si="5"/>
        <v>-3000</v>
      </c>
      <c r="M24" s="77">
        <f t="shared" si="5"/>
        <v>-3000</v>
      </c>
      <c r="N24" s="77">
        <f t="shared" si="5"/>
        <v>-3000</v>
      </c>
      <c r="O24" s="77">
        <f t="shared" si="5"/>
        <v>-3000</v>
      </c>
      <c r="P24" s="77">
        <f t="shared" si="5"/>
        <v>-3000</v>
      </c>
      <c r="Q24" s="77">
        <f t="shared" si="5"/>
        <v>-3000</v>
      </c>
      <c r="R24" s="77">
        <f t="shared" si="5"/>
        <v>-3000</v>
      </c>
      <c r="S24" s="77">
        <f t="shared" si="5"/>
        <v>-3000</v>
      </c>
      <c r="T24" s="77">
        <f t="shared" si="5"/>
        <v>-3000</v>
      </c>
      <c r="U24" s="77">
        <f t="shared" si="5"/>
        <v>-3000</v>
      </c>
      <c r="V24" s="77">
        <f t="shared" si="5"/>
        <v>-3000</v>
      </c>
      <c r="W24" s="77">
        <f t="shared" si="5"/>
        <v>-3000</v>
      </c>
      <c r="X24" s="77">
        <f t="shared" si="5"/>
        <v>-3000</v>
      </c>
      <c r="Y24" s="77">
        <f t="shared" si="5"/>
        <v>-3000</v>
      </c>
      <c r="Z24" s="77">
        <f t="shared" si="5"/>
        <v>-3000</v>
      </c>
      <c r="AA24" s="77">
        <f t="shared" si="5"/>
        <v>-3000</v>
      </c>
      <c r="AB24" s="77">
        <f t="shared" si="5"/>
        <v>-3000</v>
      </c>
      <c r="AC24" s="77">
        <f t="shared" si="5"/>
        <v>-3000</v>
      </c>
      <c r="AD24" s="77">
        <f t="shared" si="5"/>
        <v>-3000</v>
      </c>
      <c r="AE24" s="77">
        <f t="shared" si="5"/>
        <v>-3000</v>
      </c>
    </row>
    <row r="25" spans="1:55" x14ac:dyDescent="0.2">
      <c r="A25" s="84" t="s">
        <v>20</v>
      </c>
      <c r="B25" s="77">
        <f>IF(B16&lt;=Nutzungsjahre,IF(JahrErsatzbeschaffung1=Berechnungen!B16,-Ersatzbeschaffung1,IF(JahrErsatzbeschaffung2=Berechnungen!B16,-Ersatzbeschaffung2,0)),"")</f>
        <v>0</v>
      </c>
      <c r="C25" s="77">
        <f>IF(C16&lt;=Nutzungsjahre,IF(JahrErsatzbeschaffung1=Berechnungen!C16,-Ersatzbeschaffung1,IF(JahrErsatzbeschaffung2=Berechnungen!C16,-Ersatzbeschaffung2,0)),"")</f>
        <v>0</v>
      </c>
      <c r="D25" s="77">
        <f>IF(D16&lt;=Nutzungsjahre,IF(JahrErsatzbeschaffung1=Berechnungen!D16,-Ersatzbeschaffung1,IF(JahrErsatzbeschaffung2=Berechnungen!D16,-Ersatzbeschaffung2,0)),"")</f>
        <v>0</v>
      </c>
      <c r="E25" s="77">
        <f>IF(E16&lt;=Nutzungsjahre,IF(JahrErsatzbeschaffung1=Berechnungen!E16,-Ersatzbeschaffung1,IF(JahrErsatzbeschaffung2=Berechnungen!E16,-Ersatzbeschaffung2,0)),"")</f>
        <v>0</v>
      </c>
      <c r="F25" s="77">
        <f>IF(F16&lt;=Nutzungsjahre,IF(JahrErsatzbeschaffung1=Berechnungen!F16,-Ersatzbeschaffung1,IF(JahrErsatzbeschaffung2=Berechnungen!F16,-Ersatzbeschaffung2,0)),"")</f>
        <v>-20000</v>
      </c>
      <c r="G25" s="77">
        <f>IF(G16&lt;=Nutzungsjahre,IF(JahrErsatzbeschaffung1=Berechnungen!G16,-Ersatzbeschaffung1,IF(JahrErsatzbeschaffung2=Berechnungen!G16,-Ersatzbeschaffung2,0)),"")</f>
        <v>0</v>
      </c>
      <c r="H25" s="77">
        <f>IF(H16&lt;=Nutzungsjahre,IF(JahrErsatzbeschaffung1=Berechnungen!H16,-Ersatzbeschaffung1,IF(JahrErsatzbeschaffung2=Berechnungen!H16,-Ersatzbeschaffung2,0)),"")</f>
        <v>0</v>
      </c>
      <c r="I25" s="77">
        <f>IF(I16&lt;=Nutzungsjahre,IF(JahrErsatzbeschaffung1=Berechnungen!I16,-Ersatzbeschaffung1,IF(JahrErsatzbeschaffung2=Berechnungen!I16,-Ersatzbeschaffung2,0)),"")</f>
        <v>0</v>
      </c>
      <c r="J25" s="77">
        <f>IF(J16&lt;=Nutzungsjahre,IF(JahrErsatzbeschaffung1=Berechnungen!J16,-Ersatzbeschaffung1,IF(JahrErsatzbeschaffung2=Berechnungen!J16,-Ersatzbeschaffung2,0)),"")</f>
        <v>0</v>
      </c>
      <c r="K25" s="77">
        <f>IF(K16&lt;=Nutzungsjahre,IF(JahrErsatzbeschaffung1=Berechnungen!K16,-Ersatzbeschaffung1,IF(JahrErsatzbeschaffung2=Berechnungen!K16,-Ersatzbeschaffung2,0)),"")</f>
        <v>-10000</v>
      </c>
      <c r="L25" s="77">
        <f>IF(L16&lt;=Nutzungsjahre,IF(JahrErsatzbeschaffung1=Berechnungen!L16,-Ersatzbeschaffung1,IF(JahrErsatzbeschaffung2=Berechnungen!L16,-Ersatzbeschaffung2,0)),"")</f>
        <v>0</v>
      </c>
      <c r="M25" s="77">
        <f>IF(M16&lt;=Nutzungsjahre,IF(JahrErsatzbeschaffung1=Berechnungen!M16,-Ersatzbeschaffung1,IF(JahrErsatzbeschaffung2=Berechnungen!M16,-Ersatzbeschaffung2,0)),"")</f>
        <v>0</v>
      </c>
      <c r="N25" s="77">
        <f>IF(N16&lt;=Nutzungsjahre,IF(JahrErsatzbeschaffung1=Berechnungen!N16,-Ersatzbeschaffung1,IF(JahrErsatzbeschaffung2=Berechnungen!N16,-Ersatzbeschaffung2,0)),"")</f>
        <v>0</v>
      </c>
      <c r="O25" s="77">
        <f>IF(O16&lt;=Nutzungsjahre,IF(JahrErsatzbeschaffung1=Berechnungen!O16,-Ersatzbeschaffung1,IF(JahrErsatzbeschaffung2=Berechnungen!O16,-Ersatzbeschaffung2,0)),"")</f>
        <v>0</v>
      </c>
      <c r="P25" s="77">
        <f>IF(P16&lt;=Nutzungsjahre,IF(JahrErsatzbeschaffung1=Berechnungen!P16,-Ersatzbeschaffung1,IF(JahrErsatzbeschaffung2=Berechnungen!P16,-Ersatzbeschaffung2,0)),"")</f>
        <v>0</v>
      </c>
      <c r="Q25" s="77">
        <f>IF(Q16&lt;=Nutzungsjahre,IF(JahrErsatzbeschaffung1=Berechnungen!Q16,-Ersatzbeschaffung1,IF(JahrErsatzbeschaffung2=Berechnungen!Q16,-Ersatzbeschaffung2,0)),"")</f>
        <v>0</v>
      </c>
      <c r="R25" s="77">
        <f>IF(R16&lt;=Nutzungsjahre,IF(JahrErsatzbeschaffung1=Berechnungen!R16,-Ersatzbeschaffung1,IF(JahrErsatzbeschaffung2=Berechnungen!R16,-Ersatzbeschaffung2,0)),"")</f>
        <v>0</v>
      </c>
      <c r="S25" s="77">
        <f>IF(S16&lt;=Nutzungsjahre,IF(JahrErsatzbeschaffung1=Berechnungen!S16,-Ersatzbeschaffung1,IF(JahrErsatzbeschaffung2=Berechnungen!S16,-Ersatzbeschaffung2,0)),"")</f>
        <v>0</v>
      </c>
      <c r="T25" s="77">
        <f>IF(T16&lt;=Nutzungsjahre,IF(JahrErsatzbeschaffung1=Berechnungen!T16,-Ersatzbeschaffung1,IF(JahrErsatzbeschaffung2=Berechnungen!T16,-Ersatzbeschaffung2,0)),"")</f>
        <v>0</v>
      </c>
      <c r="U25" s="77">
        <f>IF(U16&lt;=Nutzungsjahre,IF(JahrErsatzbeschaffung1=Berechnungen!U16,-Ersatzbeschaffung1,IF(JahrErsatzbeschaffung2=Berechnungen!U16,-Ersatzbeschaffung2,0)),"")</f>
        <v>0</v>
      </c>
      <c r="V25" s="77">
        <f>IF(V16&lt;=Nutzungsjahre,IF(JahrErsatzbeschaffung1=Berechnungen!V16,-Ersatzbeschaffung1,IF(JahrErsatzbeschaffung2=Berechnungen!V16,-Ersatzbeschaffung2,0)),"")</f>
        <v>0</v>
      </c>
      <c r="W25" s="77">
        <f>IF(W16&lt;=Nutzungsjahre,IF(JahrErsatzbeschaffung1=Berechnungen!W16,-Ersatzbeschaffung1,IF(JahrErsatzbeschaffung2=Berechnungen!W16,-Ersatzbeschaffung2,0)),"")</f>
        <v>0</v>
      </c>
      <c r="X25" s="77">
        <f>IF(X16&lt;=Nutzungsjahre,IF(JahrErsatzbeschaffung1=Berechnungen!X16,-Ersatzbeschaffung1,IF(JahrErsatzbeschaffung2=Berechnungen!X16,-Ersatzbeschaffung2,0)),"")</f>
        <v>0</v>
      </c>
      <c r="Y25" s="77">
        <f>IF(Y16&lt;=Nutzungsjahre,IF(JahrErsatzbeschaffung1=Berechnungen!Y16,-Ersatzbeschaffung1,IF(JahrErsatzbeschaffung2=Berechnungen!Y16,-Ersatzbeschaffung2,0)),"")</f>
        <v>0</v>
      </c>
      <c r="Z25" s="77">
        <f>IF(Z16&lt;=Nutzungsjahre,IF(JahrErsatzbeschaffung1=Berechnungen!Z16,-Ersatzbeschaffung1,IF(JahrErsatzbeschaffung2=Berechnungen!Z16,-Ersatzbeschaffung2,0)),"")</f>
        <v>0</v>
      </c>
      <c r="AA25" s="77">
        <f>IF(AA16&lt;=Nutzungsjahre,IF(JahrErsatzbeschaffung1=Berechnungen!AA16,-Ersatzbeschaffung1,IF(JahrErsatzbeschaffung2=Berechnungen!AA16,-Ersatzbeschaffung2,0)),"")</f>
        <v>0</v>
      </c>
      <c r="AB25" s="77">
        <f>IF(AB16&lt;=Nutzungsjahre,IF(JahrErsatzbeschaffung1=Berechnungen!AB16,-Ersatzbeschaffung1,IF(JahrErsatzbeschaffung2=Berechnungen!AB16,-Ersatzbeschaffung2,0)),"")</f>
        <v>0</v>
      </c>
      <c r="AC25" s="77">
        <f>IF(AC16&lt;=Nutzungsjahre,IF(JahrErsatzbeschaffung1=Berechnungen!AC16,-Ersatzbeschaffung1,IF(JahrErsatzbeschaffung2=Berechnungen!AC16,-Ersatzbeschaffung2,0)),"")</f>
        <v>0</v>
      </c>
      <c r="AD25" s="77">
        <f>IF(AD16&lt;=Nutzungsjahre,IF(JahrErsatzbeschaffung1=Berechnungen!AD16,-Ersatzbeschaffung1,IF(JahrErsatzbeschaffung2=Berechnungen!AD16,-Ersatzbeschaffung2,0)),"")</f>
        <v>0</v>
      </c>
      <c r="AE25" s="77">
        <f>IF(AE16&lt;=Nutzungsjahre,IF(JahrErsatzbeschaffung1=Berechnungen!AE16,-Ersatzbeschaffung1,IF(JahrErsatzbeschaffung2=Berechnungen!AE16,-Ersatzbeschaffung2,0)),"")</f>
        <v>0</v>
      </c>
    </row>
    <row r="26" spans="1:55" x14ac:dyDescent="0.2">
      <c r="A26" s="85" t="s">
        <v>19</v>
      </c>
      <c r="B26" s="77">
        <f>IF(B16&lt;=Nutzungsjahre,BedarfsgebundeneKosten,"")</f>
        <v>-2840</v>
      </c>
      <c r="C26" s="77">
        <f t="shared" ref="C26:AE26" si="6">IF(C16&lt;=Nutzungsjahre,(B26*(1+FaktorEnergie)),"")</f>
        <v>-2925.2000000000003</v>
      </c>
      <c r="D26" s="77">
        <f t="shared" si="6"/>
        <v>-3012.9560000000006</v>
      </c>
      <c r="E26" s="77">
        <f t="shared" si="6"/>
        <v>-3103.3446800000006</v>
      </c>
      <c r="F26" s="77">
        <f t="shared" si="6"/>
        <v>-3196.4450204000009</v>
      </c>
      <c r="G26" s="77">
        <f t="shared" si="6"/>
        <v>-3292.3383710120011</v>
      </c>
      <c r="H26" s="77">
        <f t="shared" si="6"/>
        <v>-3391.1085221423614</v>
      </c>
      <c r="I26" s="77">
        <f t="shared" si="6"/>
        <v>-3492.8417778066323</v>
      </c>
      <c r="J26" s="77">
        <f t="shared" si="6"/>
        <v>-3597.6270311408311</v>
      </c>
      <c r="K26" s="77">
        <f t="shared" si="6"/>
        <v>-3705.5558420750563</v>
      </c>
      <c r="L26" s="77">
        <f t="shared" si="6"/>
        <v>-3816.7225173373081</v>
      </c>
      <c r="M26" s="77">
        <f t="shared" si="6"/>
        <v>-3931.2241928574276</v>
      </c>
      <c r="N26" s="77">
        <f t="shared" si="6"/>
        <v>-4049.1609186431506</v>
      </c>
      <c r="O26" s="77">
        <f t="shared" si="6"/>
        <v>-4170.6357462024453</v>
      </c>
      <c r="P26" s="77">
        <f t="shared" si="6"/>
        <v>-4295.7548185885189</v>
      </c>
      <c r="Q26" s="77">
        <f t="shared" si="6"/>
        <v>-4424.6274631461747</v>
      </c>
      <c r="R26" s="77">
        <f t="shared" si="6"/>
        <v>-4557.3662870405597</v>
      </c>
      <c r="S26" s="77">
        <f t="shared" si="6"/>
        <v>-4694.0872756517765</v>
      </c>
      <c r="T26" s="77">
        <f t="shared" si="6"/>
        <v>-4834.90989392133</v>
      </c>
      <c r="U26" s="77">
        <f t="shared" si="6"/>
        <v>-4979.95719073897</v>
      </c>
      <c r="V26" s="77">
        <f t="shared" si="6"/>
        <v>-5129.3559064611391</v>
      </c>
      <c r="W26" s="77">
        <f t="shared" si="6"/>
        <v>-5283.2365836549734</v>
      </c>
      <c r="X26" s="77">
        <f t="shared" si="6"/>
        <v>-5441.7336811646228</v>
      </c>
      <c r="Y26" s="77">
        <f t="shared" si="6"/>
        <v>-5604.9856915995615</v>
      </c>
      <c r="Z26" s="77">
        <f t="shared" si="6"/>
        <v>-5773.1352623475486</v>
      </c>
      <c r="AA26" s="77">
        <f t="shared" si="6"/>
        <v>-5946.3293202179757</v>
      </c>
      <c r="AB26" s="77">
        <f t="shared" si="6"/>
        <v>-6124.7191998245153</v>
      </c>
      <c r="AC26" s="77">
        <f t="shared" si="6"/>
        <v>-6308.4607758192506</v>
      </c>
      <c r="AD26" s="77">
        <f t="shared" si="6"/>
        <v>-6497.7145990938279</v>
      </c>
      <c r="AE26" s="77">
        <f t="shared" si="6"/>
        <v>-6692.6460370666427</v>
      </c>
    </row>
    <row r="27" spans="1:55" x14ac:dyDescent="0.2">
      <c r="A27" s="84" t="s">
        <v>21</v>
      </c>
      <c r="B27" s="77">
        <f>IF(B16&lt;=Nutzungsjahre,BetriebsgebundeneKosten,"")</f>
        <v>-3180.0000000000005</v>
      </c>
      <c r="C27" s="77">
        <f>IF(C16&lt;=Nutzungsjahre,(WartungInspektion+(Lohn*(1+Lohnerhöhung))),"")</f>
        <v>-3180.6000000000004</v>
      </c>
      <c r="D27" s="77">
        <f t="shared" ref="D27:AE27" si="7">IF(D16&lt;=Nutzungsjahre,(WartungInspektion+(Lohn*(1+Lohnerhöhung)^C16)),"")</f>
        <v>-3181.2120000000004</v>
      </c>
      <c r="E27" s="77">
        <f t="shared" si="7"/>
        <v>-3181.8362400000005</v>
      </c>
      <c r="F27" s="77">
        <f t="shared" si="7"/>
        <v>-3182.4729648000002</v>
      </c>
      <c r="G27" s="77">
        <f t="shared" si="7"/>
        <v>-3183.1224240960005</v>
      </c>
      <c r="H27" s="77">
        <f t="shared" si="7"/>
        <v>-3183.7848725779204</v>
      </c>
      <c r="I27" s="77">
        <f t="shared" si="7"/>
        <v>-3184.4605700294787</v>
      </c>
      <c r="J27" s="77">
        <f t="shared" si="7"/>
        <v>-3185.1497814300683</v>
      </c>
      <c r="K27" s="77">
        <f t="shared" si="7"/>
        <v>-3185.8527770586697</v>
      </c>
      <c r="L27" s="77">
        <f t="shared" si="7"/>
        <v>-3186.5698325998433</v>
      </c>
      <c r="M27" s="77">
        <f t="shared" si="7"/>
        <v>-3187.3012292518401</v>
      </c>
      <c r="N27" s="77">
        <f t="shared" si="7"/>
        <v>-3188.0472538368767</v>
      </c>
      <c r="O27" s="77">
        <f t="shared" si="7"/>
        <v>-3188.8081989136144</v>
      </c>
      <c r="P27" s="77">
        <f t="shared" si="7"/>
        <v>-3189.5843628918865</v>
      </c>
      <c r="Q27" s="77">
        <f t="shared" si="7"/>
        <v>-3190.3760501497245</v>
      </c>
      <c r="R27" s="77">
        <f t="shared" si="7"/>
        <v>-3191.1835711527187</v>
      </c>
      <c r="S27" s="77">
        <f t="shared" si="7"/>
        <v>-3192.007242575773</v>
      </c>
      <c r="T27" s="77">
        <f t="shared" si="7"/>
        <v>-3192.8473874272886</v>
      </c>
      <c r="U27" s="77">
        <f t="shared" si="7"/>
        <v>-3193.7043351758343</v>
      </c>
      <c r="V27" s="77">
        <f t="shared" si="7"/>
        <v>-3194.578421879351</v>
      </c>
      <c r="W27" s="77">
        <f t="shared" si="7"/>
        <v>-3195.469990316938</v>
      </c>
      <c r="X27" s="77">
        <f t="shared" si="7"/>
        <v>-3196.3793901232771</v>
      </c>
      <c r="Y27" s="77">
        <f t="shared" si="7"/>
        <v>-3197.3069779257426</v>
      </c>
      <c r="Z27" s="77">
        <f t="shared" si="7"/>
        <v>-3198.253117484257</v>
      </c>
      <c r="AA27" s="77">
        <f t="shared" si="7"/>
        <v>-3199.2181798339425</v>
      </c>
      <c r="AB27" s="77">
        <f t="shared" si="7"/>
        <v>-3200.2025434306211</v>
      </c>
      <c r="AC27" s="77">
        <f t="shared" si="7"/>
        <v>-3201.2065942992335</v>
      </c>
      <c r="AD27" s="77">
        <f t="shared" si="7"/>
        <v>-3202.2307261852184</v>
      </c>
      <c r="AE27" s="77">
        <f t="shared" si="7"/>
        <v>-3203.2753407089226</v>
      </c>
    </row>
    <row r="28" spans="1:55" x14ac:dyDescent="0.2">
      <c r="A28" s="84" t="s">
        <v>3</v>
      </c>
      <c r="B28" s="77">
        <f>IF(B16&lt;=Nutzungsjahre,-SonstigeKosten,"")</f>
        <v>-1500</v>
      </c>
      <c r="C28" s="77">
        <f t="shared" ref="C28:AE28" si="8">IF(C16&lt;=Nutzungsjahre,B28*(1+FaktorSonstigeKosten),"")</f>
        <v>-1530</v>
      </c>
      <c r="D28" s="77">
        <f t="shared" si="8"/>
        <v>-1560.6000000000001</v>
      </c>
      <c r="E28" s="77">
        <f t="shared" si="8"/>
        <v>-1591.8120000000001</v>
      </c>
      <c r="F28" s="77">
        <f t="shared" si="8"/>
        <v>-1623.6482400000002</v>
      </c>
      <c r="G28" s="77">
        <f t="shared" si="8"/>
        <v>-1656.1212048000002</v>
      </c>
      <c r="H28" s="77">
        <f t="shared" si="8"/>
        <v>-1689.2436288960002</v>
      </c>
      <c r="I28" s="77">
        <f t="shared" si="8"/>
        <v>-1723.0285014739202</v>
      </c>
      <c r="J28" s="77">
        <f t="shared" si="8"/>
        <v>-1757.4890715033987</v>
      </c>
      <c r="K28" s="77">
        <f t="shared" si="8"/>
        <v>-1792.6388529334668</v>
      </c>
      <c r="L28" s="77">
        <f t="shared" si="8"/>
        <v>-1828.491629992136</v>
      </c>
      <c r="M28" s="77">
        <f t="shared" si="8"/>
        <v>-1865.0614625919789</v>
      </c>
      <c r="N28" s="77">
        <f t="shared" si="8"/>
        <v>-1902.3626918438185</v>
      </c>
      <c r="O28" s="77">
        <f t="shared" si="8"/>
        <v>-1940.409945680695</v>
      </c>
      <c r="P28" s="77">
        <f t="shared" si="8"/>
        <v>-1979.218144594309</v>
      </c>
      <c r="Q28" s="77">
        <f t="shared" si="8"/>
        <v>-2018.8025074861953</v>
      </c>
      <c r="R28" s="77">
        <f t="shared" si="8"/>
        <v>-2059.1785576359193</v>
      </c>
      <c r="S28" s="77">
        <f t="shared" si="8"/>
        <v>-2100.3621287886376</v>
      </c>
      <c r="T28" s="77">
        <f t="shared" si="8"/>
        <v>-2142.3693713644102</v>
      </c>
      <c r="U28" s="77">
        <f t="shared" si="8"/>
        <v>-2185.2167587916983</v>
      </c>
      <c r="V28" s="77">
        <f t="shared" si="8"/>
        <v>-2228.9210939675322</v>
      </c>
      <c r="W28" s="77">
        <f t="shared" si="8"/>
        <v>-2273.4995158468828</v>
      </c>
      <c r="X28" s="77">
        <f t="shared" si="8"/>
        <v>-2318.9695061638204</v>
      </c>
      <c r="Y28" s="77">
        <f t="shared" si="8"/>
        <v>-2365.348896287097</v>
      </c>
      <c r="Z28" s="77">
        <f t="shared" si="8"/>
        <v>-2412.6558742128391</v>
      </c>
      <c r="AA28" s="77">
        <f t="shared" si="8"/>
        <v>-2460.9089916970961</v>
      </c>
      <c r="AB28" s="77">
        <f t="shared" si="8"/>
        <v>-2510.1271715310381</v>
      </c>
      <c r="AC28" s="77">
        <f t="shared" si="8"/>
        <v>-2560.3297149616587</v>
      </c>
      <c r="AD28" s="77">
        <f t="shared" si="8"/>
        <v>-2611.5363092608918</v>
      </c>
      <c r="AE28" s="77">
        <f t="shared" si="8"/>
        <v>-2663.7670354461097</v>
      </c>
    </row>
    <row r="29" spans="1:55" x14ac:dyDescent="0.2">
      <c r="A29" s="84" t="s">
        <v>4</v>
      </c>
      <c r="B29" s="77">
        <f>IF(B16&lt;=Nutzungsjahre,jährlicherErlös,"")</f>
        <v>15000</v>
      </c>
      <c r="C29" s="77">
        <f t="shared" ref="C29:AE29" si="9">IF(C16&lt;=Nutzungsjahre,B29*(1+FaktorErlöse),"")</f>
        <v>15300</v>
      </c>
      <c r="D29" s="77">
        <f t="shared" si="9"/>
        <v>15606</v>
      </c>
      <c r="E29" s="77">
        <f t="shared" si="9"/>
        <v>15918.12</v>
      </c>
      <c r="F29" s="77">
        <f t="shared" si="9"/>
        <v>16236.482400000001</v>
      </c>
      <c r="G29" s="77">
        <f t="shared" si="9"/>
        <v>16561.212048000001</v>
      </c>
      <c r="H29" s="77">
        <f t="shared" si="9"/>
        <v>16892.436288960002</v>
      </c>
      <c r="I29" s="77">
        <f t="shared" si="9"/>
        <v>17230.285014739202</v>
      </c>
      <c r="J29" s="77">
        <f t="shared" si="9"/>
        <v>17574.890715033987</v>
      </c>
      <c r="K29" s="77">
        <f t="shared" si="9"/>
        <v>17926.388529334668</v>
      </c>
      <c r="L29" s="77">
        <f t="shared" si="9"/>
        <v>18284.916299921362</v>
      </c>
      <c r="M29" s="77">
        <f t="shared" si="9"/>
        <v>18650.614625919789</v>
      </c>
      <c r="N29" s="77">
        <f t="shared" si="9"/>
        <v>19023.626918438185</v>
      </c>
      <c r="O29" s="77">
        <f t="shared" si="9"/>
        <v>19404.099456806951</v>
      </c>
      <c r="P29" s="77">
        <f t="shared" si="9"/>
        <v>19792.18144594309</v>
      </c>
      <c r="Q29" s="77">
        <f t="shared" si="9"/>
        <v>20188.025074861951</v>
      </c>
      <c r="R29" s="77">
        <f t="shared" si="9"/>
        <v>20591.785576359191</v>
      </c>
      <c r="S29" s="77">
        <f t="shared" si="9"/>
        <v>21003.621287886373</v>
      </c>
      <c r="T29" s="77">
        <f t="shared" si="9"/>
        <v>21423.693713644101</v>
      </c>
      <c r="U29" s="77">
        <f t="shared" si="9"/>
        <v>21852.167587916985</v>
      </c>
      <c r="V29" s="77">
        <f t="shared" si="9"/>
        <v>22289.210939675326</v>
      </c>
      <c r="W29" s="77">
        <f t="shared" si="9"/>
        <v>22734.995158468832</v>
      </c>
      <c r="X29" s="77">
        <f t="shared" si="9"/>
        <v>23189.695061638209</v>
      </c>
      <c r="Y29" s="77">
        <f t="shared" si="9"/>
        <v>23653.488962870975</v>
      </c>
      <c r="Z29" s="77">
        <f t="shared" si="9"/>
        <v>24126.558742128396</v>
      </c>
      <c r="AA29" s="77">
        <f t="shared" si="9"/>
        <v>24609.089916970963</v>
      </c>
      <c r="AB29" s="77">
        <f t="shared" si="9"/>
        <v>25101.271715310384</v>
      </c>
      <c r="AC29" s="77">
        <f t="shared" si="9"/>
        <v>25603.297149616592</v>
      </c>
      <c r="AD29" s="77">
        <f t="shared" si="9"/>
        <v>26115.363092608924</v>
      </c>
      <c r="AE29" s="77">
        <f t="shared" si="9"/>
        <v>26637.670354461105</v>
      </c>
    </row>
    <row r="30" spans="1:55" x14ac:dyDescent="0.2">
      <c r="A30" s="84" t="s">
        <v>36</v>
      </c>
      <c r="B30" s="77">
        <f t="shared" ref="B30:AE30" si="10">IF(B16&lt;=Nutzungsjahre,IF(B16&lt;=LaufzeitFörderung,Förderung,0),"")</f>
        <v>10000</v>
      </c>
      <c r="C30" s="77">
        <f t="shared" si="10"/>
        <v>10000</v>
      </c>
      <c r="D30" s="77">
        <f t="shared" si="10"/>
        <v>10000</v>
      </c>
      <c r="E30" s="77">
        <f t="shared" si="10"/>
        <v>10000</v>
      </c>
      <c r="F30" s="77">
        <f t="shared" si="10"/>
        <v>10000</v>
      </c>
      <c r="G30" s="77">
        <f t="shared" si="10"/>
        <v>10000</v>
      </c>
      <c r="H30" s="77">
        <f t="shared" si="10"/>
        <v>10000</v>
      </c>
      <c r="I30" s="77">
        <f t="shared" si="10"/>
        <v>10000</v>
      </c>
      <c r="J30" s="77">
        <f t="shared" si="10"/>
        <v>10000</v>
      </c>
      <c r="K30" s="77">
        <f t="shared" si="10"/>
        <v>10000</v>
      </c>
      <c r="L30" s="77">
        <f t="shared" si="10"/>
        <v>0</v>
      </c>
      <c r="M30" s="77">
        <f t="shared" si="10"/>
        <v>0</v>
      </c>
      <c r="N30" s="77">
        <f t="shared" si="10"/>
        <v>0</v>
      </c>
      <c r="O30" s="77">
        <f t="shared" si="10"/>
        <v>0</v>
      </c>
      <c r="P30" s="77">
        <f t="shared" si="10"/>
        <v>0</v>
      </c>
      <c r="Q30" s="77">
        <f t="shared" si="10"/>
        <v>0</v>
      </c>
      <c r="R30" s="77">
        <f t="shared" si="10"/>
        <v>0</v>
      </c>
      <c r="S30" s="77">
        <f t="shared" si="10"/>
        <v>0</v>
      </c>
      <c r="T30" s="77">
        <f t="shared" si="10"/>
        <v>0</v>
      </c>
      <c r="U30" s="77">
        <f t="shared" si="10"/>
        <v>0</v>
      </c>
      <c r="V30" s="77">
        <f t="shared" si="10"/>
        <v>0</v>
      </c>
      <c r="W30" s="77">
        <f t="shared" si="10"/>
        <v>0</v>
      </c>
      <c r="X30" s="77">
        <f t="shared" si="10"/>
        <v>0</v>
      </c>
      <c r="Y30" s="77">
        <f t="shared" si="10"/>
        <v>0</v>
      </c>
      <c r="Z30" s="77">
        <f t="shared" si="10"/>
        <v>0</v>
      </c>
      <c r="AA30" s="77">
        <f t="shared" si="10"/>
        <v>0</v>
      </c>
      <c r="AB30" s="77">
        <f t="shared" si="10"/>
        <v>0</v>
      </c>
      <c r="AC30" s="77">
        <f t="shared" si="10"/>
        <v>0</v>
      </c>
      <c r="AD30" s="77">
        <f t="shared" si="10"/>
        <v>0</v>
      </c>
      <c r="AE30" s="77">
        <f t="shared" si="10"/>
        <v>0</v>
      </c>
    </row>
    <row r="31" spans="1:55" x14ac:dyDescent="0.2">
      <c r="A31" s="84" t="s">
        <v>6</v>
      </c>
      <c r="B31" s="77">
        <f t="shared" ref="B31:AE31" si="11">IF(B16&lt;=Nutzungsjahre,IF(B16=Nutzungsjahre,Restwert,0),"")</f>
        <v>0</v>
      </c>
      <c r="C31" s="77">
        <f t="shared" si="11"/>
        <v>0</v>
      </c>
      <c r="D31" s="77">
        <f t="shared" si="11"/>
        <v>0</v>
      </c>
      <c r="E31" s="77">
        <f t="shared" si="11"/>
        <v>0</v>
      </c>
      <c r="F31" s="77">
        <f t="shared" si="11"/>
        <v>0</v>
      </c>
      <c r="G31" s="77">
        <f t="shared" si="11"/>
        <v>0</v>
      </c>
      <c r="H31" s="77">
        <f t="shared" si="11"/>
        <v>0</v>
      </c>
      <c r="I31" s="77">
        <f t="shared" si="11"/>
        <v>0</v>
      </c>
      <c r="J31" s="77">
        <f t="shared" si="11"/>
        <v>0</v>
      </c>
      <c r="K31" s="77">
        <f t="shared" si="11"/>
        <v>0</v>
      </c>
      <c r="L31" s="77">
        <f t="shared" si="11"/>
        <v>0</v>
      </c>
      <c r="M31" s="77">
        <f t="shared" si="11"/>
        <v>0</v>
      </c>
      <c r="N31" s="77">
        <f t="shared" si="11"/>
        <v>0</v>
      </c>
      <c r="O31" s="77">
        <f t="shared" si="11"/>
        <v>0</v>
      </c>
      <c r="P31" s="77">
        <f t="shared" si="11"/>
        <v>0</v>
      </c>
      <c r="Q31" s="77">
        <f t="shared" si="11"/>
        <v>0</v>
      </c>
      <c r="R31" s="77">
        <f t="shared" si="11"/>
        <v>0</v>
      </c>
      <c r="S31" s="77">
        <f t="shared" si="11"/>
        <v>0</v>
      </c>
      <c r="T31" s="77">
        <f t="shared" si="11"/>
        <v>0</v>
      </c>
      <c r="U31" s="77">
        <f t="shared" si="11"/>
        <v>0</v>
      </c>
      <c r="V31" s="77">
        <f t="shared" si="11"/>
        <v>0</v>
      </c>
      <c r="W31" s="77">
        <f t="shared" si="11"/>
        <v>0</v>
      </c>
      <c r="X31" s="77">
        <f t="shared" si="11"/>
        <v>0</v>
      </c>
      <c r="Y31" s="77">
        <f t="shared" si="11"/>
        <v>0</v>
      </c>
      <c r="Z31" s="77">
        <f t="shared" si="11"/>
        <v>0</v>
      </c>
      <c r="AA31" s="77">
        <f t="shared" si="11"/>
        <v>0</v>
      </c>
      <c r="AB31" s="77">
        <f t="shared" si="11"/>
        <v>0</v>
      </c>
      <c r="AC31" s="77">
        <f t="shared" si="11"/>
        <v>0</v>
      </c>
      <c r="AD31" s="77">
        <f t="shared" si="11"/>
        <v>0</v>
      </c>
      <c r="AE31" s="77">
        <f t="shared" si="11"/>
        <v>0</v>
      </c>
    </row>
    <row r="32" spans="1:55" x14ac:dyDescent="0.2">
      <c r="A32" s="84" t="s">
        <v>22</v>
      </c>
      <c r="B32" s="77">
        <f t="shared" ref="B32:AE32" si="12">IF(B16&lt;=Nutzungsjahre,SUM(B25:B31),"")</f>
        <v>17480</v>
      </c>
      <c r="C32" s="77">
        <f t="shared" si="12"/>
        <v>17664.199999999997</v>
      </c>
      <c r="D32" s="77">
        <f t="shared" si="12"/>
        <v>17851.231999999996</v>
      </c>
      <c r="E32" s="77">
        <f t="shared" si="12"/>
        <v>18041.127079999998</v>
      </c>
      <c r="F32" s="77">
        <f t="shared" si="12"/>
        <v>-1766.0838251999994</v>
      </c>
      <c r="G32" s="77">
        <f t="shared" si="12"/>
        <v>18429.630048092</v>
      </c>
      <c r="H32" s="77">
        <f t="shared" si="12"/>
        <v>18628.299265343718</v>
      </c>
      <c r="I32" s="77">
        <f t="shared" si="12"/>
        <v>18829.954165429172</v>
      </c>
      <c r="J32" s="77">
        <f t="shared" si="12"/>
        <v>19034.624830959692</v>
      </c>
      <c r="K32" s="77">
        <f t="shared" si="12"/>
        <v>9242.3410572674766</v>
      </c>
      <c r="L32" s="77">
        <f t="shared" si="12"/>
        <v>9453.1323199920735</v>
      </c>
      <c r="M32" s="77">
        <f t="shared" si="12"/>
        <v>9667.0277412185424</v>
      </c>
      <c r="N32" s="77">
        <f t="shared" si="12"/>
        <v>9884.0560541143386</v>
      </c>
      <c r="O32" s="77">
        <f t="shared" si="12"/>
        <v>10104.245566010197</v>
      </c>
      <c r="P32" s="77">
        <f t="shared" si="12"/>
        <v>10327.624119868375</v>
      </c>
      <c r="Q32" s="77">
        <f t="shared" si="12"/>
        <v>10554.219054079857</v>
      </c>
      <c r="R32" s="77">
        <f t="shared" si="12"/>
        <v>10784.057160529992</v>
      </c>
      <c r="S32" s="77">
        <f t="shared" si="12"/>
        <v>11017.164640870185</v>
      </c>
      <c r="T32" s="77">
        <f t="shared" si="12"/>
        <v>11253.567060931073</v>
      </c>
      <c r="U32" s="77">
        <f t="shared" si="12"/>
        <v>11493.289303210484</v>
      </c>
      <c r="V32" s="77">
        <f t="shared" si="12"/>
        <v>11736.355517367303</v>
      </c>
      <c r="W32" s="77">
        <f t="shared" si="12"/>
        <v>11982.789068650038</v>
      </c>
      <c r="X32" s="77">
        <f t="shared" si="12"/>
        <v>12232.612484186488</v>
      </c>
      <c r="Y32" s="77">
        <f t="shared" si="12"/>
        <v>12485.847397058573</v>
      </c>
      <c r="Z32" s="77">
        <f t="shared" si="12"/>
        <v>12742.514488083751</v>
      </c>
      <c r="AA32" s="77">
        <f t="shared" si="12"/>
        <v>13002.633425221949</v>
      </c>
      <c r="AB32" s="77">
        <f t="shared" si="12"/>
        <v>13266.22280052421</v>
      </c>
      <c r="AC32" s="77">
        <f t="shared" si="12"/>
        <v>13533.300064536448</v>
      </c>
      <c r="AD32" s="77">
        <f t="shared" si="12"/>
        <v>13803.881458068987</v>
      </c>
      <c r="AE32" s="77">
        <f t="shared" si="12"/>
        <v>14077.98194123943</v>
      </c>
    </row>
    <row r="33" spans="1:31" x14ac:dyDescent="0.2">
      <c r="A33" s="84" t="s">
        <v>39</v>
      </c>
      <c r="B33" s="77">
        <f t="shared" ref="B33:AE33" si="13">IF(B16&lt;=Nutzungsjahre,B32*((1+Abzinsungsfaktor)^-B16),"")</f>
        <v>17137.254901960783</v>
      </c>
      <c r="C33" s="77">
        <f t="shared" si="13"/>
        <v>16978.27758554402</v>
      </c>
      <c r="D33" s="77">
        <f t="shared" si="13"/>
        <v>16821.614612780904</v>
      </c>
      <c r="E33" s="77">
        <f t="shared" si="13"/>
        <v>16667.21273322108</v>
      </c>
      <c r="F33" s="77">
        <f t="shared" si="13"/>
        <v>-1599.5965332259111</v>
      </c>
      <c r="G33" s="77">
        <f t="shared" si="13"/>
        <v>16364.984066984429</v>
      </c>
      <c r="H33" s="77">
        <f t="shared" si="13"/>
        <v>16217.055535711068</v>
      </c>
      <c r="I33" s="77">
        <f t="shared" si="13"/>
        <v>16071.184570144933</v>
      </c>
      <c r="J33" s="77">
        <f t="shared" si="13"/>
        <v>15927.322561215984</v>
      </c>
      <c r="K33" s="77">
        <f t="shared" si="13"/>
        <v>7581.9387731957204</v>
      </c>
      <c r="L33" s="77">
        <f t="shared" si="13"/>
        <v>7602.8049286278247</v>
      </c>
      <c r="M33" s="77">
        <f t="shared" si="13"/>
        <v>7622.3854021093757</v>
      </c>
      <c r="N33" s="77">
        <f t="shared" si="13"/>
        <v>7640.6968095448156</v>
      </c>
      <c r="O33" s="77">
        <f t="shared" si="13"/>
        <v>7657.7553567860932</v>
      </c>
      <c r="P33" s="77">
        <f t="shared" si="13"/>
        <v>7673.5768468469196</v>
      </c>
      <c r="Q33" s="77">
        <f t="shared" si="13"/>
        <v>7688.1766869674784</v>
      </c>
      <c r="R33" s="77">
        <f t="shared" si="13"/>
        <v>7701.5698955324378</v>
      </c>
      <c r="S33" s="77">
        <f t="shared" si="13"/>
        <v>7713.7711088450351</v>
      </c>
      <c r="T33" s="77">
        <f t="shared" si="13"/>
        <v>7724.7945877600259</v>
      </c>
      <c r="U33" s="77">
        <f t="shared" si="13"/>
        <v>7734.6542241781399</v>
      </c>
      <c r="V33" s="77">
        <f t="shared" si="13"/>
        <v>7743.3635474046896</v>
      </c>
      <c r="W33" s="77">
        <f t="shared" si="13"/>
        <v>7750.9357303749302</v>
      </c>
      <c r="X33" s="77">
        <f t="shared" si="13"/>
        <v>7757.3835957486672</v>
      </c>
      <c r="Y33" s="77">
        <f t="shared" si="13"/>
        <v>7762.7196218766085</v>
      </c>
      <c r="Z33" s="77">
        <f t="shared" si="13"/>
        <v>7766.9559486409007</v>
      </c>
      <c r="AA33" s="77">
        <f t="shared" si="13"/>
        <v>7770.1043831721927</v>
      </c>
      <c r="AB33" s="77">
        <f t="shared" si="13"/>
        <v>7772.1764054456271</v>
      </c>
      <c r="AC33" s="77">
        <f t="shared" si="13"/>
        <v>7773.1831737579423</v>
      </c>
      <c r="AD33" s="77">
        <f t="shared" si="13"/>
        <v>7773.1355300880596</v>
      </c>
      <c r="AE33" s="77">
        <f t="shared" si="13"/>
        <v>7772.0440053431985</v>
      </c>
    </row>
    <row r="34" spans="1:31" x14ac:dyDescent="0.2">
      <c r="A34" s="84" t="s">
        <v>62</v>
      </c>
      <c r="B34" s="77">
        <f>IF(B16&lt;=Nutzungsjahre,-KapitalgebundeneKosten+B33,"")</f>
        <v>-72862.745098039217</v>
      </c>
      <c r="C34" s="77">
        <f t="shared" ref="C34:AE34" si="14">IF(C16&lt;=Nutzungsjahre,B34+C33,"")</f>
        <v>-55884.467512495197</v>
      </c>
      <c r="D34" s="77">
        <f t="shared" si="14"/>
        <v>-39062.852899714293</v>
      </c>
      <c r="E34" s="77">
        <f t="shared" si="14"/>
        <v>-22395.640166493213</v>
      </c>
      <c r="F34" s="77">
        <f t="shared" si="14"/>
        <v>-23995.236699719124</v>
      </c>
      <c r="G34" s="77">
        <f t="shared" si="14"/>
        <v>-7630.252632734695</v>
      </c>
      <c r="H34" s="77">
        <f t="shared" si="14"/>
        <v>8586.8029029763729</v>
      </c>
      <c r="I34" s="77">
        <f t="shared" si="14"/>
        <v>24657.987473121306</v>
      </c>
      <c r="J34" s="77">
        <f t="shared" si="14"/>
        <v>40585.310034337293</v>
      </c>
      <c r="K34" s="77">
        <f t="shared" si="14"/>
        <v>48167.248807533011</v>
      </c>
      <c r="L34" s="77">
        <f t="shared" si="14"/>
        <v>55770.053736160837</v>
      </c>
      <c r="M34" s="77">
        <f t="shared" si="14"/>
        <v>63392.439138270216</v>
      </c>
      <c r="N34" s="77">
        <f t="shared" si="14"/>
        <v>71033.135947815026</v>
      </c>
      <c r="O34" s="77">
        <f t="shared" si="14"/>
        <v>78690.891304601115</v>
      </c>
      <c r="P34" s="77">
        <f t="shared" si="14"/>
        <v>86364.468151448033</v>
      </c>
      <c r="Q34" s="77">
        <f t="shared" si="14"/>
        <v>94052.644838415508</v>
      </c>
      <c r="R34" s="77">
        <f t="shared" si="14"/>
        <v>101754.21473394794</v>
      </c>
      <c r="S34" s="77">
        <f t="shared" si="14"/>
        <v>109467.98584279297</v>
      </c>
      <c r="T34" s="77">
        <f t="shared" si="14"/>
        <v>117192.780430553</v>
      </c>
      <c r="U34" s="77">
        <f t="shared" si="14"/>
        <v>124927.43465473114</v>
      </c>
      <c r="V34" s="77">
        <f t="shared" si="14"/>
        <v>132670.79820213583</v>
      </c>
      <c r="W34" s="77">
        <f t="shared" si="14"/>
        <v>140421.73393251078</v>
      </c>
      <c r="X34" s="77">
        <f t="shared" si="14"/>
        <v>148179.11752825943</v>
      </c>
      <c r="Y34" s="77">
        <f t="shared" si="14"/>
        <v>155941.83715013604</v>
      </c>
      <c r="Z34" s="77">
        <f t="shared" si="14"/>
        <v>163708.79309877695</v>
      </c>
      <c r="AA34" s="77">
        <f t="shared" si="14"/>
        <v>171478.89748194916</v>
      </c>
      <c r="AB34" s="77">
        <f t="shared" si="14"/>
        <v>179251.07388739477</v>
      </c>
      <c r="AC34" s="77">
        <f t="shared" si="14"/>
        <v>187024.25706115272</v>
      </c>
      <c r="AD34" s="77">
        <f t="shared" si="14"/>
        <v>194797.39259124079</v>
      </c>
      <c r="AE34" s="77">
        <f t="shared" si="14"/>
        <v>202569.43659658398</v>
      </c>
    </row>
    <row r="35" spans="1:31" x14ac:dyDescent="0.2">
      <c r="A35" s="80" t="s">
        <v>28</v>
      </c>
      <c r="B35" s="70">
        <f t="shared" ref="B35:AE35" si="15">IF(B16&lt;=Nutzungsjahre,B33+Abschreibunglinear,"")</f>
        <v>14137.254901960783</v>
      </c>
      <c r="C35" s="70">
        <f t="shared" si="15"/>
        <v>13978.27758554402</v>
      </c>
      <c r="D35" s="70">
        <f t="shared" si="15"/>
        <v>13821.614612780904</v>
      </c>
      <c r="E35" s="70">
        <f t="shared" si="15"/>
        <v>13667.21273322108</v>
      </c>
      <c r="F35" s="70">
        <f t="shared" si="15"/>
        <v>-4599.5965332259111</v>
      </c>
      <c r="G35" s="70">
        <f t="shared" si="15"/>
        <v>13364.984066984429</v>
      </c>
      <c r="H35" s="70">
        <f t="shared" si="15"/>
        <v>13217.055535711068</v>
      </c>
      <c r="I35" s="70">
        <f t="shared" si="15"/>
        <v>13071.184570144933</v>
      </c>
      <c r="J35" s="70">
        <f t="shared" si="15"/>
        <v>12927.322561215984</v>
      </c>
      <c r="K35" s="70">
        <f t="shared" si="15"/>
        <v>4581.9387731957204</v>
      </c>
      <c r="L35" s="70">
        <f t="shared" si="15"/>
        <v>4602.8049286278247</v>
      </c>
      <c r="M35" s="70">
        <f t="shared" si="15"/>
        <v>4622.3854021093757</v>
      </c>
      <c r="N35" s="70">
        <f t="shared" si="15"/>
        <v>4640.6968095448156</v>
      </c>
      <c r="O35" s="70">
        <f t="shared" si="15"/>
        <v>4657.7553567860932</v>
      </c>
      <c r="P35" s="70">
        <f t="shared" si="15"/>
        <v>4673.5768468469196</v>
      </c>
      <c r="Q35" s="70">
        <f t="shared" si="15"/>
        <v>4688.1766869674784</v>
      </c>
      <c r="R35" s="70">
        <f t="shared" si="15"/>
        <v>4701.5698955324378</v>
      </c>
      <c r="S35" s="70">
        <f t="shared" si="15"/>
        <v>4713.7711088450351</v>
      </c>
      <c r="T35" s="70">
        <f t="shared" si="15"/>
        <v>4724.7945877600259</v>
      </c>
      <c r="U35" s="70">
        <f t="shared" si="15"/>
        <v>4734.6542241781399</v>
      </c>
      <c r="V35" s="70">
        <f t="shared" si="15"/>
        <v>4743.3635474046896</v>
      </c>
      <c r="W35" s="70">
        <f t="shared" si="15"/>
        <v>4750.9357303749302</v>
      </c>
      <c r="X35" s="70">
        <f t="shared" si="15"/>
        <v>4757.3835957486672</v>
      </c>
      <c r="Y35" s="70">
        <f t="shared" si="15"/>
        <v>4762.7196218766085</v>
      </c>
      <c r="Z35" s="70">
        <f t="shared" si="15"/>
        <v>4766.9559486409007</v>
      </c>
      <c r="AA35" s="70">
        <f t="shared" si="15"/>
        <v>4770.1043831721927</v>
      </c>
      <c r="AB35" s="70">
        <f t="shared" si="15"/>
        <v>4772.1764054456271</v>
      </c>
      <c r="AC35" s="70">
        <f t="shared" si="15"/>
        <v>4773.1831737579423</v>
      </c>
      <c r="AD35" s="70">
        <f t="shared" si="15"/>
        <v>4773.1355300880596</v>
      </c>
      <c r="AE35" s="70">
        <f t="shared" si="15"/>
        <v>4772.0440053431985</v>
      </c>
    </row>
    <row r="36" spans="1:31" x14ac:dyDescent="0.2">
      <c r="A36" s="84"/>
      <c r="B36" s="86">
        <f>SUM(B35:AE35)</f>
        <v>202569.43659658404</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row>
    <row r="37" spans="1:31" x14ac:dyDescent="0.2">
      <c r="A37" s="84"/>
    </row>
    <row r="38" spans="1:31" x14ac:dyDescent="0.2">
      <c r="A38" s="80" t="s">
        <v>31</v>
      </c>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row>
    <row r="39" spans="1:31" x14ac:dyDescent="0.2">
      <c r="A39" s="67" t="s">
        <v>61</v>
      </c>
      <c r="B39" s="71">
        <f>IF(B36&gt;0,(SUM(B32:AE32))/Nutzungsjahre,((SUM(B32:AE32))/Nutzungsjahre)*-1)</f>
        <v>12894.594876255143</v>
      </c>
      <c r="C39" s="87">
        <f>KapitalgebundeneKosten/B39</f>
        <v>6.9796686800708434</v>
      </c>
    </row>
    <row r="40" spans="1:31" x14ac:dyDescent="0.2">
      <c r="A40" s="67" t="s">
        <v>59</v>
      </c>
      <c r="B40" s="73">
        <f>IF(B36&gt;0,(SUM(B33:AE33))/Nutzungsjahre,((SUM(B33:AE33))/Nutzungsjahre)*-1)</f>
        <v>9752.3145532194685</v>
      </c>
      <c r="C40" s="88">
        <f>KapitalgebundeneKosten/B40</f>
        <v>9.2285784578481298</v>
      </c>
    </row>
  </sheetData>
  <customSheetViews>
    <customSheetView guid="{BC21BAC2-2C5D-4771-A36D-D3E3041AC412}" topLeftCell="A2">
      <selection activeCell="B3" sqref="B3"/>
      <pageMargins left="0.7" right="0.7" top="0.78740157499999996" bottom="0.78740157499999996" header="0.3" footer="0.3"/>
    </customSheetView>
  </customSheetViews>
  <mergeCells count="1">
    <mergeCell ref="A1:G1"/>
  </mergeCells>
  <pageMargins left="0.7" right="0.7" top="0.78740157499999996" bottom="0.78740157499999996"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e17629-a4f6-4a31-9dfb-351bdb81580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46ACD140FBE18468ED2E5A89170E33C" ma:contentTypeVersion="9" ma:contentTypeDescription="Ein neues Dokument erstellen." ma:contentTypeScope="" ma:versionID="5f0c40e884f00b17d6745b392f6e4478">
  <xsd:schema xmlns:xsd="http://www.w3.org/2001/XMLSchema" xmlns:xs="http://www.w3.org/2001/XMLSchema" xmlns:p="http://schemas.microsoft.com/office/2006/metadata/properties" xmlns:ns2="9fe17629-a4f6-4a31-9dfb-351bdb81580a" targetNamespace="http://schemas.microsoft.com/office/2006/metadata/properties" ma:root="true" ma:fieldsID="bcb7e6e6da6f2aef40f472bdbe373617" ns2:_="">
    <xsd:import namespace="9fe17629-a4f6-4a31-9dfb-351bdb8158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17629-a4f6-4a31-9dfb-351bdb8158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2a97604-b849-4516-851c-2960424e468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19AC59-CE28-4162-8B8B-CD0E70A991F1}">
  <ds:schemaRefs>
    <ds:schemaRef ds:uri="http://schemas.microsoft.com/office/2006/metadata/properties"/>
    <ds:schemaRef ds:uri="http://schemas.microsoft.com/office/infopath/2007/PartnerControls"/>
    <ds:schemaRef ds:uri="9fe17629-a4f6-4a31-9dfb-351bdb81580a"/>
  </ds:schemaRefs>
</ds:datastoreItem>
</file>

<file path=customXml/itemProps2.xml><?xml version="1.0" encoding="utf-8"?>
<ds:datastoreItem xmlns:ds="http://schemas.openxmlformats.org/officeDocument/2006/customXml" ds:itemID="{45DA238C-F59B-4F61-86BF-2298F2886337}">
  <ds:schemaRefs>
    <ds:schemaRef ds:uri="http://schemas.microsoft.com/sharepoint/v3/contenttype/forms"/>
  </ds:schemaRefs>
</ds:datastoreItem>
</file>

<file path=customXml/itemProps3.xml><?xml version="1.0" encoding="utf-8"?>
<ds:datastoreItem xmlns:ds="http://schemas.openxmlformats.org/officeDocument/2006/customXml" ds:itemID="{09EC930B-8345-4B20-B21B-A4CC979821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17629-a4f6-4a31-9dfb-351bdb8158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3</vt:i4>
      </vt:variant>
      <vt:variant>
        <vt:lpstr>Benannte Bereiche</vt:lpstr>
      </vt:variant>
      <vt:variant>
        <vt:i4>46</vt:i4>
      </vt:variant>
    </vt:vector>
  </HeadingPairs>
  <TitlesOfParts>
    <vt:vector size="49" baseType="lpstr">
      <vt:lpstr>Eingabe</vt:lpstr>
      <vt:lpstr>Ergebnisse</vt:lpstr>
      <vt:lpstr>Berechnungen</vt:lpstr>
      <vt:lpstr>Abschreibunglinear</vt:lpstr>
      <vt:lpstr>Abzinsungsfaktor</vt:lpstr>
      <vt:lpstr>Anlagenbezeichnung</vt:lpstr>
      <vt:lpstr>Arbeitsstunden</vt:lpstr>
      <vt:lpstr>BedarfsgebundeneKosten</vt:lpstr>
      <vt:lpstr>BetriebsgebundeneKosten</vt:lpstr>
      <vt:lpstr>DynAmortisationszeit</vt:lpstr>
      <vt:lpstr>Ersatzbeschaffung1</vt:lpstr>
      <vt:lpstr>Ersatzbeschaffung2</vt:lpstr>
      <vt:lpstr>Erstellungsdatum</vt:lpstr>
      <vt:lpstr>FaktorEnergie</vt:lpstr>
      <vt:lpstr>FaktorErlöse</vt:lpstr>
      <vt:lpstr>FaktorInstandsetzung</vt:lpstr>
      <vt:lpstr>FaktorSonstigeKosten</vt:lpstr>
      <vt:lpstr>FaktorWartung</vt:lpstr>
      <vt:lpstr>Förderung</vt:lpstr>
      <vt:lpstr>Gas</vt:lpstr>
      <vt:lpstr>JahrErsatzbeschaffung1</vt:lpstr>
      <vt:lpstr>JahrErsatzbeschaffung2</vt:lpstr>
      <vt:lpstr>jährlicherErlös</vt:lpstr>
      <vt:lpstr>Kälte</vt:lpstr>
      <vt:lpstr>KapitalgebundeneKosten</vt:lpstr>
      <vt:lpstr>Kapitalwert</vt:lpstr>
      <vt:lpstr>LaufzeitFörderung</vt:lpstr>
      <vt:lpstr>Lohn</vt:lpstr>
      <vt:lpstr>Lohnerhöhung</vt:lpstr>
      <vt:lpstr>NameErsteller</vt:lpstr>
      <vt:lpstr>Nutzungsjahre</vt:lpstr>
      <vt:lpstr>PreisGas</vt:lpstr>
      <vt:lpstr>PreisKälte</vt:lpstr>
      <vt:lpstr>PreisStrom</vt:lpstr>
      <vt:lpstr>PreisWärme</vt:lpstr>
      <vt:lpstr>PreisWasser</vt:lpstr>
      <vt:lpstr>Restwert</vt:lpstr>
      <vt:lpstr>SonstigeKosten</vt:lpstr>
      <vt:lpstr>StatAmortisationszeit</vt:lpstr>
      <vt:lpstr>Strom</vt:lpstr>
      <vt:lpstr>Stundenlohn</vt:lpstr>
      <vt:lpstr>VerbrauchGas</vt:lpstr>
      <vt:lpstr>VerbrauchKälte</vt:lpstr>
      <vt:lpstr>VerbrauchStrom</vt:lpstr>
      <vt:lpstr>VerbrauchWärme</vt:lpstr>
      <vt:lpstr>VerbrauchWasser</vt:lpstr>
      <vt:lpstr>Wärme</vt:lpstr>
      <vt:lpstr>WartungInspektion</vt:lpstr>
      <vt:lpstr>Wasser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Felix Fauß</dc:creator>
  <cp:lastModifiedBy>Prof. Dr. Henrik te Heesen</cp:lastModifiedBy>
  <cp:lastPrinted>2020-02-17T11:11:18Z</cp:lastPrinted>
  <dcterms:created xsi:type="dcterms:W3CDTF">2019-12-28T11:52:44Z</dcterms:created>
  <dcterms:modified xsi:type="dcterms:W3CDTF">2026-08-07T12:42:04Z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0x010100D46ACD140FBE18468ED2E5A89170E33C</vt:lpwstr>
  </property>
</Properties>
</file>